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rmhumanservices-my.sharepoint.com/personal/lhausman_rmhumanservices_org/Documents/Templates/STSLS/"/>
    </mc:Choice>
  </mc:AlternateContent>
  <xr:revisionPtr revIDLastSave="501" documentId="13_ncr:1_{76E5D6AF-1995-48FF-836A-D9F70E3AE194}" xr6:coauthVersionLast="47" xr6:coauthVersionMax="47" xr10:uidLastSave="{07DEBA12-BA0E-40FB-B8AA-884C5205565C}"/>
  <workbookProtection workbookAlgorithmName="SHA-512" workbookHashValue="Vks8qFxe0Z3DpuLaJdHbmBPRa1vM2NK3EbV6AvAfdv2zEx1TiJr0wq/QgFY90+AetGYdEKeF00/Fr4e/RzC3aQ==" workbookSaltValue="0//s+JgP7wEHy1icy8rW7g==" workbookSpinCount="100000" lockStructure="1"/>
  <bookViews>
    <workbookView xWindow="3510" yWindow="2775" windowWidth="22320" windowHeight="13425" tabRatio="599"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Rates'!$A$1:$H$115</definedName>
    <definedName name="_xlnm.Print_Area" localSheetId="0">Invoice!$A$1:$U$77</definedName>
    <definedName name="_xlnm.Print_Titles" localSheetId="0">Invoice!$2:$6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6" i="8" l="1"/>
  <c r="D105" i="8"/>
  <c r="D104" i="8"/>
  <c r="G7" i="2"/>
  <c r="I7" i="2"/>
  <c r="G8" i="2"/>
  <c r="I8" i="2" s="1"/>
  <c r="H8" i="2" s="1"/>
  <c r="G9" i="2"/>
  <c r="I9" i="2" s="1"/>
  <c r="H9" i="2" s="1"/>
  <c r="G10" i="2"/>
  <c r="I10" i="2" s="1"/>
  <c r="H10" i="2" s="1"/>
  <c r="G11" i="2"/>
  <c r="I11" i="2" s="1"/>
  <c r="H11" i="2" s="1"/>
  <c r="G12" i="2"/>
  <c r="I12" i="2" s="1"/>
  <c r="H12" i="2" s="1"/>
  <c r="G13" i="2"/>
  <c r="I13" i="2" s="1"/>
  <c r="H13" i="2" s="1"/>
  <c r="G14" i="2"/>
  <c r="I14" i="2" s="1"/>
  <c r="H14" i="2" s="1"/>
  <c r="G15" i="2"/>
  <c r="I15" i="2" s="1"/>
  <c r="H15" i="2" s="1"/>
  <c r="G16" i="2"/>
  <c r="I16" i="2" s="1"/>
  <c r="H16" i="2" s="1"/>
  <c r="G17" i="2"/>
  <c r="I17" i="2" s="1"/>
  <c r="H17" i="2" s="1"/>
  <c r="G18" i="2"/>
  <c r="I18" i="2" s="1"/>
  <c r="H18" i="2" s="1"/>
  <c r="G19" i="2"/>
  <c r="I19" i="2" s="1"/>
  <c r="H19" i="2" s="1"/>
  <c r="G20" i="2"/>
  <c r="I20" i="2" s="1"/>
  <c r="H20" i="2" s="1"/>
  <c r="G21" i="2"/>
  <c r="I21" i="2" s="1"/>
  <c r="H21" i="2" s="1"/>
  <c r="G22" i="2"/>
  <c r="I22" i="2" s="1"/>
  <c r="H22" i="2" s="1"/>
  <c r="G23" i="2"/>
  <c r="I23" i="2" s="1"/>
  <c r="H23" i="2" s="1"/>
  <c r="G24" i="2"/>
  <c r="I24" i="2" s="1"/>
  <c r="H24" i="2" s="1"/>
  <c r="G25" i="2"/>
  <c r="I25" i="2" s="1"/>
  <c r="H25" i="2" s="1"/>
  <c r="G26" i="2"/>
  <c r="I26" i="2" s="1"/>
  <c r="H26" i="2" s="1"/>
  <c r="G27" i="2"/>
  <c r="I27" i="2" s="1"/>
  <c r="H27" i="2" s="1"/>
  <c r="G28" i="2"/>
  <c r="I28" i="2" s="1"/>
  <c r="H28" i="2" s="1"/>
  <c r="G29" i="2"/>
  <c r="I29" i="2" s="1"/>
  <c r="H29" i="2" s="1"/>
  <c r="G30" i="2"/>
  <c r="I30" i="2" s="1"/>
  <c r="H30" i="2" s="1"/>
  <c r="G31" i="2"/>
  <c r="I31" i="2" s="1"/>
  <c r="H31" i="2" s="1"/>
  <c r="G32" i="2"/>
  <c r="I32" i="2" s="1"/>
  <c r="H32" i="2" s="1"/>
  <c r="G33" i="2"/>
  <c r="I33" i="2" s="1"/>
  <c r="H33" i="2" s="1"/>
  <c r="G34" i="2"/>
  <c r="I34" i="2" s="1"/>
  <c r="H34" i="2" s="1"/>
  <c r="G35" i="2"/>
  <c r="I35" i="2" s="1"/>
  <c r="H35" i="2" s="1"/>
  <c r="G36" i="2"/>
  <c r="I36" i="2" s="1"/>
  <c r="H36" i="2" s="1"/>
  <c r="G37" i="2"/>
  <c r="I37" i="2" s="1"/>
  <c r="H37" i="2" s="1"/>
  <c r="G38" i="2"/>
  <c r="I38" i="2" s="1"/>
  <c r="H38" i="2" s="1"/>
  <c r="G39" i="2"/>
  <c r="I39" i="2" s="1"/>
  <c r="H39" i="2" s="1"/>
  <c r="G40" i="2"/>
  <c r="I40" i="2" s="1"/>
  <c r="H40" i="2" s="1"/>
  <c r="G41" i="2"/>
  <c r="I41" i="2" s="1"/>
  <c r="H41" i="2" s="1"/>
  <c r="G42" i="2"/>
  <c r="I42" i="2" s="1"/>
  <c r="H42" i="2" s="1"/>
  <c r="G43" i="2"/>
  <c r="I43" i="2" s="1"/>
  <c r="H43" i="2" s="1"/>
  <c r="G44" i="2"/>
  <c r="I44" i="2" s="1"/>
  <c r="H44" i="2" s="1"/>
  <c r="G45" i="2"/>
  <c r="I45" i="2" s="1"/>
  <c r="H45" i="2" s="1"/>
  <c r="G46" i="2"/>
  <c r="I46" i="2" s="1"/>
  <c r="H46" i="2" s="1"/>
  <c r="G47" i="2"/>
  <c r="I47" i="2" s="1"/>
  <c r="H47" i="2" s="1"/>
  <c r="G48" i="2"/>
  <c r="I48" i="2" s="1"/>
  <c r="H48" i="2" s="1"/>
  <c r="G49" i="2"/>
  <c r="I49" i="2" s="1"/>
  <c r="H49" i="2" s="1"/>
  <c r="G50" i="2"/>
  <c r="I50" i="2" s="1"/>
  <c r="H50" i="2" s="1"/>
  <c r="G51" i="2"/>
  <c r="I51" i="2" s="1"/>
  <c r="H51" i="2" s="1"/>
  <c r="G52" i="2"/>
  <c r="I52" i="2" s="1"/>
  <c r="H52" i="2" s="1"/>
  <c r="G53" i="2"/>
  <c r="I53" i="2" s="1"/>
  <c r="H53" i="2" s="1"/>
  <c r="G54" i="2"/>
  <c r="I54" i="2" s="1"/>
  <c r="H54" i="2" s="1"/>
  <c r="G55" i="2"/>
  <c r="I55" i="2" s="1"/>
  <c r="H55" i="2" s="1"/>
  <c r="G56" i="2"/>
  <c r="I56" i="2" s="1"/>
  <c r="H56" i="2" s="1"/>
  <c r="G57" i="2"/>
  <c r="I57" i="2" s="1"/>
  <c r="H57" i="2" s="1"/>
  <c r="G58" i="2"/>
  <c r="I58" i="2" s="1"/>
  <c r="H58" i="2" s="1"/>
  <c r="G59" i="2"/>
  <c r="I59" i="2" s="1"/>
  <c r="H59" i="2" s="1"/>
  <c r="G60" i="2"/>
  <c r="I60" i="2" s="1"/>
  <c r="H60" i="2" s="1"/>
  <c r="G61" i="2"/>
  <c r="I61" i="2" s="1"/>
  <c r="H61" i="2" s="1"/>
  <c r="G62" i="2"/>
  <c r="I62" i="2" s="1"/>
  <c r="H62" i="2" s="1"/>
  <c r="G63" i="2"/>
  <c r="I63" i="2" s="1"/>
  <c r="H63" i="2" s="1"/>
  <c r="G64" i="2"/>
  <c r="I64" i="2" s="1"/>
  <c r="H64" i="2" s="1"/>
  <c r="G65" i="2"/>
  <c r="I65" i="2" s="1"/>
  <c r="H65" i="2" s="1"/>
  <c r="G66" i="2"/>
  <c r="I66" i="2" s="1"/>
  <c r="H66" i="2" s="1"/>
  <c r="G67" i="2"/>
  <c r="I67" i="2" s="1"/>
  <c r="H67" i="2" s="1"/>
  <c r="G68" i="2"/>
  <c r="I68" i="2" s="1"/>
  <c r="H68" i="2" s="1"/>
  <c r="G69" i="2"/>
  <c r="I69" i="2" s="1"/>
  <c r="H69" i="2" s="1"/>
  <c r="G70" i="2"/>
  <c r="I70" i="2" s="1"/>
  <c r="H70" i="2" s="1"/>
  <c r="N22" i="2"/>
  <c r="O22" i="2" s="1"/>
  <c r="K22" i="2"/>
  <c r="L22" i="2"/>
  <c r="S22" i="2"/>
  <c r="P22" i="2" l="1"/>
  <c r="Q22" i="2"/>
  <c r="D103" i="8"/>
  <c r="D102" i="8"/>
  <c r="D100" i="8"/>
  <c r="D94" i="8"/>
  <c r="D99" i="8"/>
  <c r="D93" i="8"/>
  <c r="D97" i="8"/>
  <c r="D96" i="8"/>
  <c r="D92" i="8"/>
  <c r="D91" i="8"/>
  <c r="D87" i="8"/>
  <c r="D86" i="8"/>
  <c r="D82" i="8"/>
  <c r="D88" i="8"/>
  <c r="D81" i="8"/>
  <c r="D79" i="8"/>
  <c r="D78" i="8"/>
  <c r="D85" i="8"/>
  <c r="D76" i="8"/>
  <c r="D75" i="8"/>
  <c r="D73" i="8"/>
  <c r="D58" i="8"/>
  <c r="D72" i="8"/>
  <c r="D70" i="8"/>
  <c r="D69" i="8"/>
  <c r="D57" i="8"/>
  <c r="D67" i="8"/>
  <c r="D66" i="8"/>
  <c r="D52" i="8"/>
  <c r="D51" i="8"/>
  <c r="D46" i="8"/>
  <c r="D64" i="8"/>
  <c r="D101" i="8"/>
  <c r="D98" i="8"/>
  <c r="D95" i="8"/>
  <c r="D89" i="8"/>
  <c r="D90" i="8"/>
  <c r="D83" i="8"/>
  <c r="D84" i="8"/>
  <c r="D80" i="8"/>
  <c r="D77" i="8"/>
  <c r="D74" i="8"/>
  <c r="D71" i="8"/>
  <c r="D68" i="8"/>
  <c r="D65" i="8"/>
  <c r="D63" i="8"/>
  <c r="D61" i="8"/>
  <c r="D56" i="8"/>
  <c r="D55" i="8"/>
  <c r="D50" i="8"/>
  <c r="D49" i="8"/>
  <c r="D45" i="8"/>
  <c r="D44" i="8"/>
  <c r="D40" i="8"/>
  <c r="D39" i="8"/>
  <c r="D34" i="8"/>
  <c r="D31" i="8"/>
  <c r="D28" i="8"/>
  <c r="D27" i="8"/>
  <c r="D22" i="8"/>
  <c r="D19" i="8"/>
  <c r="D17" i="8"/>
  <c r="D13" i="8"/>
  <c r="D12" i="8"/>
  <c r="D7" i="8"/>
  <c r="D6" i="8"/>
  <c r="D62" i="8"/>
  <c r="D60" i="8"/>
  <c r="D59" i="8"/>
  <c r="D41" i="8"/>
  <c r="D54" i="8"/>
  <c r="D36" i="8"/>
  <c r="D53" i="8"/>
  <c r="D48" i="8"/>
  <c r="D47" i="8"/>
  <c r="D43" i="8"/>
  <c r="D42" i="8"/>
  <c r="D38" i="8"/>
  <c r="D37" i="8"/>
  <c r="D35" i="8"/>
  <c r="D33" i="8"/>
  <c r="D32" i="8"/>
  <c r="D30" i="8"/>
  <c r="D24" i="8"/>
  <c r="D29" i="8"/>
  <c r="D23" i="8"/>
  <c r="D26" i="8"/>
  <c r="D18" i="8"/>
  <c r="D25" i="8"/>
  <c r="D16" i="8"/>
  <c r="D21" i="8"/>
  <c r="D20" i="8"/>
  <c r="D15" i="8"/>
  <c r="D11" i="8"/>
  <c r="D14" i="8"/>
  <c r="D10" i="8"/>
  <c r="D8" i="8"/>
  <c r="D9" i="8"/>
  <c r="D5" i="8"/>
  <c r="D4" i="8"/>
  <c r="D3" i="8"/>
  <c r="D2" i="8"/>
  <c r="R22" i="2" l="1"/>
  <c r="J8" i="2"/>
  <c r="T8" i="2"/>
  <c r="T9" i="2"/>
  <c r="J9" i="2"/>
  <c r="T10" i="2"/>
  <c r="T11" i="2"/>
  <c r="T12" i="2"/>
  <c r="T13" i="2"/>
  <c r="T14" i="2"/>
  <c r="T15" i="2"/>
  <c r="T16" i="2"/>
  <c r="T17" i="2"/>
  <c r="T18" i="2"/>
  <c r="T19" i="2"/>
  <c r="T20" i="2"/>
  <c r="T21" i="2"/>
  <c r="T22" i="2"/>
  <c r="U22" i="2" s="1"/>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4" i="2"/>
  <c r="T65" i="2"/>
  <c r="T66" i="2"/>
  <c r="T67" i="2"/>
  <c r="T69" i="2"/>
  <c r="T70" i="2"/>
  <c r="J10" i="2"/>
  <c r="J11" i="2"/>
  <c r="J12" i="2"/>
  <c r="J14" i="2"/>
  <c r="J15" i="2"/>
  <c r="J16" i="2"/>
  <c r="J18" i="2"/>
  <c r="J19" i="2"/>
  <c r="J20" i="2"/>
  <c r="J22" i="2"/>
  <c r="J23" i="2"/>
  <c r="J25" i="2"/>
  <c r="J26" i="2"/>
  <c r="J27" i="2"/>
  <c r="J29" i="2"/>
  <c r="J30" i="2"/>
  <c r="J31" i="2"/>
  <c r="J33" i="2"/>
  <c r="J34" i="2"/>
  <c r="J36" i="2"/>
  <c r="J37" i="2"/>
  <c r="J38" i="2"/>
  <c r="J40" i="2"/>
  <c r="J41" i="2"/>
  <c r="J43" i="2"/>
  <c r="J44" i="2"/>
  <c r="J45" i="2"/>
  <c r="J50" i="2"/>
  <c r="J51" i="2"/>
  <c r="J53" i="2"/>
  <c r="J54" i="2"/>
  <c r="J55" i="2"/>
  <c r="J57" i="2"/>
  <c r="J58" i="2"/>
  <c r="J60" i="2"/>
  <c r="J61" i="2"/>
  <c r="J63" i="2"/>
  <c r="J64" i="2"/>
  <c r="J66" i="2"/>
  <c r="J67" i="2"/>
  <c r="J68" i="2"/>
  <c r="J70" i="2"/>
  <c r="T63" i="2"/>
  <c r="T68" i="2"/>
  <c r="J13" i="2"/>
  <c r="J17" i="2"/>
  <c r="J21" i="2"/>
  <c r="J24" i="2"/>
  <c r="J28" i="2"/>
  <c r="J32" i="2"/>
  <c r="J35" i="2"/>
  <c r="J39" i="2"/>
  <c r="J42" i="2"/>
  <c r="J46" i="2"/>
  <c r="J47" i="2"/>
  <c r="J48" i="2"/>
  <c r="J49" i="2"/>
  <c r="J52" i="2"/>
  <c r="J56" i="2"/>
  <c r="J59" i="2"/>
  <c r="J62" i="2"/>
  <c r="J65" i="2"/>
  <c r="J69" i="2"/>
  <c r="S16" i="2"/>
  <c r="S17" i="2"/>
  <c r="S18" i="2"/>
  <c r="S19" i="2"/>
  <c r="S20" i="2"/>
  <c r="S21" i="2"/>
  <c r="S23" i="2"/>
  <c r="S24" i="2"/>
  <c r="S25" i="2"/>
  <c r="N19" i="2"/>
  <c r="O19" i="2" s="1"/>
  <c r="N20" i="2"/>
  <c r="O20" i="2" s="1"/>
  <c r="Q20" i="2" s="1"/>
  <c r="L19" i="2"/>
  <c r="L20" i="2"/>
  <c r="K19" i="2"/>
  <c r="K20" i="2"/>
  <c r="L8" i="2"/>
  <c r="S13" i="2"/>
  <c r="S14" i="2"/>
  <c r="S15" i="2"/>
  <c r="S26" i="2"/>
  <c r="S27" i="2"/>
  <c r="S28" i="2"/>
  <c r="S29" i="2"/>
  <c r="S30" i="2"/>
  <c r="S31" i="2"/>
  <c r="S32" i="2"/>
  <c r="S33" i="2"/>
  <c r="S34" i="2"/>
  <c r="S35" i="2"/>
  <c r="S36" i="2"/>
  <c r="S37" i="2"/>
  <c r="S38" i="2"/>
  <c r="S39" i="2"/>
  <c r="S40" i="2"/>
  <c r="S41" i="2"/>
  <c r="S42" i="2"/>
  <c r="S43" i="2"/>
  <c r="S44" i="2"/>
  <c r="S45" i="2"/>
  <c r="S46" i="2"/>
  <c r="S47" i="2"/>
  <c r="S48" i="2"/>
  <c r="S49" i="2"/>
  <c r="S50" i="2"/>
  <c r="S52" i="2"/>
  <c r="S53" i="2"/>
  <c r="S54" i="2"/>
  <c r="S55" i="2"/>
  <c r="S56" i="2"/>
  <c r="S57" i="2"/>
  <c r="S58" i="2"/>
  <c r="S59" i="2"/>
  <c r="S60" i="2"/>
  <c r="S61" i="2"/>
  <c r="S62" i="2"/>
  <c r="S63" i="2"/>
  <c r="S64" i="2"/>
  <c r="S65" i="2"/>
  <c r="S66" i="2"/>
  <c r="S67" i="2"/>
  <c r="S68" i="2"/>
  <c r="S69" i="2"/>
  <c r="S70" i="2"/>
  <c r="P19" i="2" l="1"/>
  <c r="Q19" i="2"/>
  <c r="K7" i="2"/>
  <c r="K8" i="2"/>
  <c r="K9" i="2"/>
  <c r="K10" i="2"/>
  <c r="K11" i="2"/>
  <c r="K12" i="2"/>
  <c r="K13" i="2"/>
  <c r="K14" i="2"/>
  <c r="K15" i="2"/>
  <c r="K16" i="2"/>
  <c r="K17" i="2"/>
  <c r="K18" i="2"/>
  <c r="K21"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L7" i="2"/>
  <c r="L9" i="2"/>
  <c r="L10" i="2"/>
  <c r="L11" i="2"/>
  <c r="L12" i="2"/>
  <c r="L13" i="2"/>
  <c r="L14" i="2"/>
  <c r="L15" i="2"/>
  <c r="L16" i="2"/>
  <c r="L17" i="2"/>
  <c r="L18" i="2"/>
  <c r="L21"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N15" i="2"/>
  <c r="O15" i="2" s="1"/>
  <c r="N16" i="2"/>
  <c r="O16" i="2" s="1"/>
  <c r="N17" i="2"/>
  <c r="O17" i="2" s="1"/>
  <c r="P17" i="2" s="1"/>
  <c r="N18" i="2"/>
  <c r="O18" i="2" s="1"/>
  <c r="N21" i="2"/>
  <c r="N23" i="2"/>
  <c r="O23" i="2" s="1"/>
  <c r="N24" i="2"/>
  <c r="O24" i="2" s="1"/>
  <c r="Q24" i="2" s="1"/>
  <c r="N25" i="2"/>
  <c r="O25" i="2" s="1"/>
  <c r="N26" i="2"/>
  <c r="O26" i="2" s="1"/>
  <c r="N27" i="2"/>
  <c r="O27" i="2" s="1"/>
  <c r="N28" i="2"/>
  <c r="O28" i="2" s="1"/>
  <c r="N29" i="2"/>
  <c r="O29" i="2" s="1"/>
  <c r="N30" i="2"/>
  <c r="O30" i="2" s="1"/>
  <c r="N31" i="2"/>
  <c r="O31" i="2" s="1"/>
  <c r="N32" i="2"/>
  <c r="O32" i="2" s="1"/>
  <c r="Q32" i="2" s="1"/>
  <c r="N33" i="2"/>
  <c r="O33" i="2" s="1"/>
  <c r="N34" i="2"/>
  <c r="O34" i="2" s="1"/>
  <c r="N35" i="2"/>
  <c r="O35" i="2" s="1"/>
  <c r="N36" i="2"/>
  <c r="O36" i="2" s="1"/>
  <c r="N37" i="2"/>
  <c r="O37" i="2" s="1"/>
  <c r="N38" i="2"/>
  <c r="O38" i="2" s="1"/>
  <c r="N39" i="2"/>
  <c r="O39" i="2" s="1"/>
  <c r="N40" i="2"/>
  <c r="O40" i="2" s="1"/>
  <c r="Q40" i="2" s="1"/>
  <c r="N41" i="2"/>
  <c r="O41" i="2" s="1"/>
  <c r="N42" i="2"/>
  <c r="O42" i="2" s="1"/>
  <c r="N43" i="2"/>
  <c r="O43" i="2" s="1"/>
  <c r="N44" i="2"/>
  <c r="O44" i="2" s="1"/>
  <c r="N45" i="2"/>
  <c r="O45" i="2" s="1"/>
  <c r="N46" i="2"/>
  <c r="O46" i="2" s="1"/>
  <c r="N47" i="2"/>
  <c r="O47" i="2" s="1"/>
  <c r="N48" i="2"/>
  <c r="O48" i="2" s="1"/>
  <c r="Q48" i="2" s="1"/>
  <c r="N49" i="2"/>
  <c r="O49" i="2" s="1"/>
  <c r="N50" i="2"/>
  <c r="O50" i="2" s="1"/>
  <c r="N51" i="2"/>
  <c r="O51" i="2" s="1"/>
  <c r="N52" i="2"/>
  <c r="O52" i="2" s="1"/>
  <c r="N53" i="2"/>
  <c r="O53" i="2" s="1"/>
  <c r="N54" i="2"/>
  <c r="O54" i="2" s="1"/>
  <c r="P54" i="2" s="1"/>
  <c r="N55" i="2"/>
  <c r="O55" i="2" s="1"/>
  <c r="N56" i="2"/>
  <c r="O56" i="2" s="1"/>
  <c r="Q56" i="2" s="1"/>
  <c r="N57" i="2"/>
  <c r="O57" i="2" s="1"/>
  <c r="N58" i="2"/>
  <c r="O58" i="2" s="1"/>
  <c r="N59" i="2"/>
  <c r="O59" i="2" s="1"/>
  <c r="N60" i="2"/>
  <c r="O60" i="2" s="1"/>
  <c r="N61" i="2"/>
  <c r="O61" i="2" s="1"/>
  <c r="N62" i="2"/>
  <c r="O62" i="2" s="1"/>
  <c r="N63" i="2"/>
  <c r="O63" i="2" s="1"/>
  <c r="N64" i="2"/>
  <c r="O64" i="2" s="1"/>
  <c r="Q64" i="2" s="1"/>
  <c r="N65" i="2"/>
  <c r="O65" i="2" s="1"/>
  <c r="N66" i="2"/>
  <c r="O66" i="2" s="1"/>
  <c r="N67" i="2"/>
  <c r="O67" i="2" s="1"/>
  <c r="N68" i="2"/>
  <c r="O68" i="2" s="1"/>
  <c r="N69" i="2"/>
  <c r="O69" i="2" s="1"/>
  <c r="N70" i="2"/>
  <c r="O70" i="2" s="1"/>
  <c r="N8" i="2"/>
  <c r="O8" i="2" s="1"/>
  <c r="N9" i="2"/>
  <c r="O9" i="2" s="1"/>
  <c r="N10" i="2"/>
  <c r="O10" i="2" s="1"/>
  <c r="P10" i="2" s="1"/>
  <c r="N11" i="2"/>
  <c r="O11" i="2" s="1"/>
  <c r="N12" i="2"/>
  <c r="O12" i="2" s="1"/>
  <c r="P12" i="2" s="1"/>
  <c r="N13" i="2"/>
  <c r="O13" i="2" s="1"/>
  <c r="Q13" i="2" s="1"/>
  <c r="N14" i="2"/>
  <c r="O14" i="2" s="1"/>
  <c r="N7" i="2"/>
  <c r="O7" i="2" s="1"/>
  <c r="M22" i="2" l="1" a="1"/>
  <c r="M22" i="2" s="1"/>
  <c r="R19" i="2"/>
  <c r="O21" i="2"/>
  <c r="P21" i="2" s="1"/>
  <c r="M20" i="2" a="1"/>
  <c r="M20" i="2" s="1"/>
  <c r="M19" i="2" a="1"/>
  <c r="M19" i="2" s="1"/>
  <c r="M7" i="2" a="1"/>
  <c r="M7" i="2" s="1"/>
  <c r="M63" i="2" a="1"/>
  <c r="M63" i="2" s="1"/>
  <c r="M66" i="2" a="1"/>
  <c r="M66" i="2" s="1"/>
  <c r="M53" i="2" a="1"/>
  <c r="M53" i="2" s="1"/>
  <c r="M65" i="2" a="1"/>
  <c r="M65" i="2" s="1"/>
  <c r="M52" i="2" a="1"/>
  <c r="M52" i="2" s="1"/>
  <c r="M46" i="2" a="1"/>
  <c r="M46" i="2" s="1"/>
  <c r="M39" i="2" a="1"/>
  <c r="M39" i="2" s="1"/>
  <c r="M33" i="2" a="1"/>
  <c r="M33" i="2" s="1"/>
  <c r="M18" i="2" a="1"/>
  <c r="M18" i="2" s="1"/>
  <c r="M13" i="2" a="1"/>
  <c r="M13" i="2" s="1"/>
  <c r="M64" i="2" a="1"/>
  <c r="M64" i="2" s="1"/>
  <c r="M58" i="2" a="1"/>
  <c r="M58" i="2" s="1"/>
  <c r="M51" i="2" a="1"/>
  <c r="M51" i="2" s="1"/>
  <c r="M45" i="2" a="1"/>
  <c r="M45" i="2" s="1"/>
  <c r="M32" i="2" a="1"/>
  <c r="M32" i="2" s="1"/>
  <c r="M26" i="2" a="1"/>
  <c r="M26" i="2" s="1"/>
  <c r="M17" i="2" a="1"/>
  <c r="M17" i="2" s="1"/>
  <c r="M12" i="2" a="1"/>
  <c r="M12" i="2" s="1"/>
  <c r="M70" i="2" a="1"/>
  <c r="M70" i="2" s="1"/>
  <c r="M38" i="2" a="1"/>
  <c r="M38" i="2" s="1"/>
  <c r="M11" i="2" a="1"/>
  <c r="M11" i="2" s="1"/>
  <c r="M69" i="2" a="1"/>
  <c r="M69" i="2" s="1"/>
  <c r="M56" i="2" a="1"/>
  <c r="M56" i="2" s="1"/>
  <c r="M50" i="2" a="1"/>
  <c r="M50" i="2" s="1"/>
  <c r="M43" i="2" a="1"/>
  <c r="M43" i="2" s="1"/>
  <c r="M37" i="2" a="1"/>
  <c r="M37" i="2" s="1"/>
  <c r="M24" i="2" a="1"/>
  <c r="M24" i="2" s="1"/>
  <c r="M16" i="2" a="1"/>
  <c r="M16" i="2" s="1"/>
  <c r="M10" i="2" a="1"/>
  <c r="M10" i="2" s="1"/>
  <c r="M57" i="2" a="1"/>
  <c r="M57" i="2" s="1"/>
  <c r="M31" i="2" a="1"/>
  <c r="M31" i="2" s="1"/>
  <c r="M68" i="2" a="1"/>
  <c r="M68" i="2" s="1"/>
  <c r="M62" i="2" a="1"/>
  <c r="M62" i="2" s="1"/>
  <c r="M55" i="2" a="1"/>
  <c r="M55" i="2" s="1"/>
  <c r="M49" i="2" a="1"/>
  <c r="M49" i="2" s="1"/>
  <c r="M36" i="2" a="1"/>
  <c r="M36" i="2" s="1"/>
  <c r="M30" i="2" a="1"/>
  <c r="M30" i="2" s="1"/>
  <c r="M23" i="2" a="1"/>
  <c r="M23" i="2" s="1"/>
  <c r="M15" i="2" a="1"/>
  <c r="M15" i="2" s="1"/>
  <c r="M44" i="2" a="1"/>
  <c r="M44" i="2" s="1"/>
  <c r="M25" i="2" a="1"/>
  <c r="M25" i="2" s="1"/>
  <c r="M67" i="2" a="1"/>
  <c r="M67" i="2" s="1"/>
  <c r="M61" i="2" a="1"/>
  <c r="M61" i="2" s="1"/>
  <c r="M48" i="2" a="1"/>
  <c r="M48" i="2" s="1"/>
  <c r="M42" i="2" a="1"/>
  <c r="M42" i="2" s="1"/>
  <c r="M35" i="2" a="1"/>
  <c r="M35" i="2" s="1"/>
  <c r="M29" i="2" a="1"/>
  <c r="M29" i="2" s="1"/>
  <c r="M9" i="2" a="1"/>
  <c r="M9" i="2" s="1"/>
  <c r="M60" i="2" a="1"/>
  <c r="M60" i="2" s="1"/>
  <c r="M54" i="2" a="1"/>
  <c r="M54" i="2" s="1"/>
  <c r="M47" i="2" a="1"/>
  <c r="M47" i="2" s="1"/>
  <c r="M41" i="2" a="1"/>
  <c r="M41" i="2" s="1"/>
  <c r="M28" i="2" a="1"/>
  <c r="M28" i="2" s="1"/>
  <c r="M21" i="2" a="1"/>
  <c r="M21" i="2" s="1"/>
  <c r="M14" i="2" a="1"/>
  <c r="M14" i="2" s="1"/>
  <c r="M8" i="2" a="1"/>
  <c r="M8" i="2" s="1"/>
  <c r="M59" i="2" a="1"/>
  <c r="M59" i="2" s="1"/>
  <c r="M40" i="2" a="1"/>
  <c r="M40" i="2" s="1"/>
  <c r="M34" i="2" a="1"/>
  <c r="M34" i="2" s="1"/>
  <c r="M27" i="2" a="1"/>
  <c r="M27" i="2" s="1"/>
  <c r="P62" i="2"/>
  <c r="Q62" i="2"/>
  <c r="P70" i="2"/>
  <c r="Q70" i="2"/>
  <c r="P46" i="2"/>
  <c r="Q46" i="2"/>
  <c r="P30" i="2"/>
  <c r="Q30" i="2"/>
  <c r="P38" i="2"/>
  <c r="Q38" i="2"/>
  <c r="Q54" i="2"/>
  <c r="R54" i="2" s="1"/>
  <c r="P67" i="2"/>
  <c r="Q67" i="2"/>
  <c r="P35" i="2"/>
  <c r="Q35" i="2"/>
  <c r="P27" i="2"/>
  <c r="Q27" i="2"/>
  <c r="P52" i="2"/>
  <c r="Q52" i="2"/>
  <c r="Q26" i="2"/>
  <c r="P26" i="2"/>
  <c r="P44" i="2"/>
  <c r="Q44" i="2"/>
  <c r="P43" i="2"/>
  <c r="Q43" i="2"/>
  <c r="Q42" i="2"/>
  <c r="P42" i="2"/>
  <c r="Q65" i="2"/>
  <c r="P65" i="2"/>
  <c r="Q49" i="2"/>
  <c r="P49" i="2"/>
  <c r="Q41" i="2"/>
  <c r="P41" i="2"/>
  <c r="Q25" i="2"/>
  <c r="P25" i="2"/>
  <c r="P68" i="2"/>
  <c r="Q68" i="2"/>
  <c r="P36" i="2"/>
  <c r="Q36" i="2"/>
  <c r="Q50" i="2"/>
  <c r="P50" i="2"/>
  <c r="Q34" i="2"/>
  <c r="P34" i="2"/>
  <c r="Q57" i="2"/>
  <c r="P57" i="2"/>
  <c r="Q33" i="2"/>
  <c r="P33" i="2"/>
  <c r="P28" i="2"/>
  <c r="Q28" i="2"/>
  <c r="Q59" i="2"/>
  <c r="P59" i="2"/>
  <c r="Q66" i="2"/>
  <c r="P66" i="2"/>
  <c r="Q55" i="2"/>
  <c r="P55" i="2"/>
  <c r="Q39" i="2"/>
  <c r="P39" i="2"/>
  <c r="Q23" i="2"/>
  <c r="P23" i="2"/>
  <c r="P60" i="2"/>
  <c r="Q60" i="2"/>
  <c r="P18" i="2"/>
  <c r="Q18" i="2"/>
  <c r="P51" i="2"/>
  <c r="Q51" i="2"/>
  <c r="Q58" i="2"/>
  <c r="P58" i="2"/>
  <c r="Q63" i="2"/>
  <c r="P63" i="2"/>
  <c r="Q47" i="2"/>
  <c r="P47" i="2"/>
  <c r="Q31" i="2"/>
  <c r="P31" i="2"/>
  <c r="P69" i="2"/>
  <c r="Q69" i="2"/>
  <c r="P61" i="2"/>
  <c r="Q61" i="2"/>
  <c r="P53" i="2"/>
  <c r="Q53" i="2"/>
  <c r="P45" i="2"/>
  <c r="Q45" i="2"/>
  <c r="P37" i="2"/>
  <c r="Q37" i="2"/>
  <c r="P29" i="2"/>
  <c r="Q29" i="2"/>
  <c r="P20" i="2"/>
  <c r="R20" i="2" s="1"/>
  <c r="P64" i="2"/>
  <c r="R64" i="2" s="1"/>
  <c r="P56" i="2"/>
  <c r="R56" i="2" s="1"/>
  <c r="P48" i="2"/>
  <c r="R48" i="2" s="1"/>
  <c r="P40" i="2"/>
  <c r="R40" i="2" s="1"/>
  <c r="P32" i="2"/>
  <c r="R32" i="2" s="1"/>
  <c r="P24" i="2"/>
  <c r="R24" i="2" s="1"/>
  <c r="Q9" i="2"/>
  <c r="P9" i="2"/>
  <c r="P8" i="2"/>
  <c r="Q8" i="2"/>
  <c r="Q14" i="2"/>
  <c r="P14" i="2"/>
  <c r="Q16" i="2"/>
  <c r="P16" i="2"/>
  <c r="Q7" i="2"/>
  <c r="P7" i="2"/>
  <c r="P11" i="2"/>
  <c r="Q11" i="2"/>
  <c r="P15" i="2"/>
  <c r="Q15" i="2"/>
  <c r="P13" i="2"/>
  <c r="R13" i="2" s="1"/>
  <c r="Q10" i="2"/>
  <c r="R10" i="2" s="1"/>
  <c r="Q12" i="2"/>
  <c r="R12" i="2" s="1"/>
  <c r="Q17" i="2"/>
  <c r="R17" i="2" s="1"/>
  <c r="G8" i="7"/>
  <c r="G9" i="7"/>
  <c r="G10" i="7"/>
  <c r="G11" i="7"/>
  <c r="G12" i="7"/>
  <c r="G13" i="7"/>
  <c r="G14" i="7"/>
  <c r="G15" i="7"/>
  <c r="G16" i="7"/>
  <c r="G7" i="7"/>
  <c r="Q21" i="2" l="1"/>
  <c r="R21" i="2" s="1"/>
  <c r="R16" i="2"/>
  <c r="R70" i="2"/>
  <c r="R14" i="2"/>
  <c r="R58" i="2"/>
  <c r="R23" i="2"/>
  <c r="R59" i="2"/>
  <c r="R30" i="2"/>
  <c r="R34" i="2"/>
  <c r="R25" i="2"/>
  <c r="R42" i="2"/>
  <c r="R63" i="2"/>
  <c r="R66" i="2"/>
  <c r="R57" i="2"/>
  <c r="R65" i="2"/>
  <c r="R26" i="2"/>
  <c r="R46" i="2"/>
  <c r="R31" i="2"/>
  <c r="R39" i="2"/>
  <c r="R50" i="2"/>
  <c r="R41" i="2"/>
  <c r="R53" i="2"/>
  <c r="R18" i="2"/>
  <c r="R36" i="2"/>
  <c r="R44" i="2"/>
  <c r="R35" i="2"/>
  <c r="R38" i="2"/>
  <c r="R62" i="2"/>
  <c r="R37" i="2"/>
  <c r="R69" i="2"/>
  <c r="R52" i="2"/>
  <c r="R45" i="2"/>
  <c r="R51" i="2"/>
  <c r="R28" i="2"/>
  <c r="R43" i="2"/>
  <c r="R27" i="2"/>
  <c r="R8" i="2"/>
  <c r="R7" i="2"/>
  <c r="R47" i="2"/>
  <c r="R55" i="2"/>
  <c r="R33" i="2"/>
  <c r="R49" i="2"/>
  <c r="R29" i="2"/>
  <c r="R61" i="2"/>
  <c r="R60" i="2"/>
  <c r="R68" i="2"/>
  <c r="R67" i="2"/>
  <c r="R11" i="2"/>
  <c r="R15" i="2"/>
  <c r="R9" i="2"/>
  <c r="S12" i="2" l="1"/>
  <c r="R71" i="2"/>
  <c r="S9" i="2"/>
  <c r="S10" i="2"/>
  <c r="S11" i="2"/>
  <c r="H7" i="2" l="1"/>
  <c r="T7" i="2" s="1"/>
  <c r="J7" i="2" l="1"/>
  <c r="S7" i="2" s="1"/>
  <c r="U7" i="2" l="1"/>
  <c r="U48" i="2"/>
  <c r="U32" i="2"/>
  <c r="U57" i="2"/>
  <c r="U29" i="2"/>
  <c r="U9" i="2"/>
  <c r="U47" i="2"/>
  <c r="U36" i="2"/>
  <c r="U43" i="2"/>
  <c r="U41" i="2"/>
  <c r="U31" i="2"/>
  <c r="U40" i="2"/>
  <c r="U14" i="2"/>
  <c r="U53" i="2"/>
  <c r="U15" i="2"/>
  <c r="U54" i="2"/>
  <c r="U27" i="2"/>
  <c r="U49" i="2"/>
  <c r="U10" i="2"/>
  <c r="U68" i="2"/>
  <c r="U69" i="2"/>
  <c r="U21" i="2"/>
  <c r="U56" i="2"/>
  <c r="U16" i="2"/>
  <c r="U28" i="2"/>
  <c r="U55" i="2"/>
  <c r="U45" i="2"/>
  <c r="U11" i="2"/>
  <c r="U42" i="2"/>
  <c r="U23" i="2"/>
  <c r="U25" i="2"/>
  <c r="U19" i="2"/>
  <c r="U37" i="2"/>
  <c r="U34" i="2"/>
  <c r="U12" i="2"/>
  <c r="U17" i="2"/>
  <c r="U63" i="2"/>
  <c r="U64" i="2"/>
  <c r="U60" i="2" l="1"/>
  <c r="U44" i="2"/>
  <c r="U20" i="2"/>
  <c r="U30" i="2"/>
  <c r="U38" i="2"/>
  <c r="U46" i="2"/>
  <c r="U61" i="2"/>
  <c r="U50" i="2"/>
  <c r="U65" i="2"/>
  <c r="U59" i="2"/>
  <c r="U26" i="2"/>
  <c r="U67" i="2"/>
  <c r="U52" i="2"/>
  <c r="U18" i="2"/>
  <c r="U13" i="2"/>
  <c r="U35" i="2"/>
  <c r="U58" i="2"/>
  <c r="U66" i="2"/>
  <c r="U33" i="2"/>
  <c r="S51" i="2"/>
  <c r="U24" i="2"/>
  <c r="U62" i="2"/>
  <c r="U70" i="2"/>
  <c r="U39" i="2"/>
  <c r="S8" i="2"/>
  <c r="U8" i="2" s="1"/>
  <c r="S71" i="2" l="1"/>
  <c r="U51" i="2"/>
  <c r="U7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<sst xmlns="http://schemas.openxmlformats.org/spreadsheetml/2006/main" count="524" uniqueCount="163">
  <si>
    <t>Company Name:</t>
  </si>
  <si>
    <t>Service Provider Name:</t>
  </si>
  <si>
    <t>Service Month/Year:</t>
  </si>
  <si>
    <t>Approved Service Provided</t>
  </si>
  <si>
    <t>Detailed Description of Service Provided</t>
  </si>
  <si>
    <t>Date of Service</t>
  </si>
  <si>
    <r>
      <t xml:space="preserve">Time In </t>
    </r>
    <r>
      <rPr>
        <b/>
        <sz val="8"/>
        <color theme="0"/>
        <rFont val="Arial"/>
        <family val="2"/>
      </rPr>
      <t>HH:MM AM/PM</t>
    </r>
  </si>
  <si>
    <r>
      <t xml:space="preserve">Time Out </t>
    </r>
    <r>
      <rPr>
        <b/>
        <sz val="8"/>
        <color theme="0"/>
        <rFont val="Arial"/>
        <family val="2"/>
      </rPr>
      <t>HH:MM AM/PM</t>
    </r>
  </si>
  <si>
    <t>Waiver</t>
  </si>
  <si>
    <t>Combined</t>
  </si>
  <si>
    <t>Formula2</t>
  </si>
  <si>
    <t>Formula3</t>
  </si>
  <si>
    <t>Formula4</t>
  </si>
  <si>
    <t>Overlap</t>
  </si>
  <si>
    <t>Formula 1</t>
  </si>
  <si>
    <t>Formula 2</t>
  </si>
  <si>
    <t>Hours</t>
  </si>
  <si>
    <t>Minutes</t>
  </si>
  <si>
    <t>Total Minutes</t>
  </si>
  <si>
    <t>Units</t>
  </si>
  <si>
    <t>Rate</t>
  </si>
  <si>
    <t>Total Amount</t>
  </si>
  <si>
    <t>Totals</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</si>
  <si>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</si>
  <si>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</si>
  <si>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Printed Name</t>
  </si>
  <si>
    <t>Signature</t>
  </si>
  <si>
    <t xml:space="preserve">         Date:</t>
  </si>
  <si>
    <t>Service</t>
  </si>
  <si>
    <t>WithSis</t>
  </si>
  <si>
    <t>Increment</t>
  </si>
  <si>
    <t>Description</t>
  </si>
  <si>
    <t>Amount</t>
  </si>
  <si>
    <t>Fee Schedule Set</t>
  </si>
  <si>
    <t>Behavioral Consultation</t>
  </si>
  <si>
    <t>15MIN</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</si>
  <si>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</si>
  <si>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</si>
  <si>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</si>
  <si>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</si>
  <si>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</si>
  <si>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</si>
  <si>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</si>
  <si>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</si>
  <si>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</si>
  <si>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</si>
  <si>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</si>
  <si>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</si>
  <si>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</si>
  <si>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</si>
  <si>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</si>
  <si>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</si>
  <si>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</si>
  <si>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</si>
  <si>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</si>
  <si>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</si>
  <si>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</si>
  <si>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</si>
  <si>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</si>
  <si>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</si>
  <si>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</si>
  <si>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</si>
  <si>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</si>
  <si>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</si>
  <si>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</si>
  <si>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Transportation (Non-Medical)</t>
  </si>
  <si>
    <t>Supported Employment- Benefits Planning</t>
  </si>
  <si>
    <t>Supported Employment- Workplace Assistance</t>
  </si>
  <si>
    <t>Program:</t>
  </si>
  <si>
    <t>Customer DOB:</t>
  </si>
  <si>
    <t>Trip</t>
  </si>
  <si>
    <t>Days</t>
  </si>
  <si>
    <t>8Behavioral Consultation</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</si>
  <si>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</si>
  <si>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</si>
  <si>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</si>
  <si>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</si>
  <si>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</si>
  <si>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</si>
  <si>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</si>
  <si>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</si>
  <si>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</si>
  <si>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</si>
  <si>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</si>
  <si>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</si>
  <si>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8Movement Therapy-Bachelors</t>
  </si>
  <si>
    <t>8Movement Therapy-Masters</t>
  </si>
  <si>
    <t>8Personal Care</t>
  </si>
  <si>
    <t>8Prevocational Services</t>
  </si>
  <si>
    <t>8Respite Individual-15 Mins</t>
  </si>
  <si>
    <t>8Respite Individual-Day</t>
  </si>
  <si>
    <t>8Specialized Habilitation</t>
  </si>
  <si>
    <t>8Supported Community Connections</t>
  </si>
  <si>
    <t>8Supported Employment- Benefits Planning</t>
  </si>
  <si>
    <t>8Supported Employment- Workplace Assistance</t>
  </si>
  <si>
    <t>8Transportation (Non-Medical)</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</si>
  <si>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</si>
  <si>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</si>
  <si>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</si>
  <si>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</si>
  <si>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</si>
  <si>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</si>
  <si>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</si>
  <si>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</si>
  <si>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</si>
  <si>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</si>
  <si>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</si>
  <si>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 xml:space="preserve">* RMHS will reimburse at the most current rates. Rows can be unhidden/hidden to edit number of lines on the invoice. </t>
  </si>
  <si>
    <t>Customer Legal Name:</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</si>
  <si>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</si>
  <si>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</si>
  <si>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</si>
  <si>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</si>
  <si>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</si>
  <si>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</si>
  <si>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</si>
  <si>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</si>
  <si>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</si>
  <si>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</si>
  <si>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</si>
  <si>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</si>
  <si>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</si>
  <si>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</si>
  <si>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</si>
  <si>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</si>
  <si>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</si>
  <si>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</si>
  <si>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</si>
  <si>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</si>
  <si>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</si>
  <si>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</si>
  <si>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</si>
  <si>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</si>
  <si>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</si>
  <si>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</si>
  <si>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</si>
  <si>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</si>
  <si>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</si>
  <si>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</si>
  <si>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</si>
  <si>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</si>
  <si>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</si>
  <si>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</si>
  <si>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</si>
  <si>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</si>
  <si>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</si>
  <si>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</si>
  <si>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</si>
  <si>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</si>
  <si>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</si>
  <si>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County of Service</t>
  </si>
  <si>
    <t>Denver</t>
  </si>
  <si>
    <t>Non-Denver</t>
  </si>
  <si>
    <t>Program Code</t>
  </si>
  <si>
    <t>County</t>
  </si>
  <si>
    <t>State SLS- Mirrors level 4 rates</t>
  </si>
  <si>
    <t>OBRA- Mirrors level 6 rates</t>
  </si>
  <si>
    <t>W/ Sis &amp; Coutny</t>
  </si>
  <si>
    <t>July 2025-June 2026 State SLS &amp; OBRA Invoice- Rocky Mountain Human Services</t>
  </si>
  <si>
    <t>Revised June 2025</t>
  </si>
  <si>
    <t>Template effective 7/1/25-6/30/26, pending any applicable changes to the HCPF fee schedule</t>
  </si>
  <si>
    <t xml:space="preserve">Attention: Please verify that all text is visible prior to submission. This document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Case Manager if the plan is not meeting the customer's need and a revision is needed. Retroactive revisions will not be permitted. </t>
  </si>
  <si>
    <t>9Transportation (Non-Medical)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</si>
</sst>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409]h:mm\ AM/PM;@"/>
    <numFmt numFmtId="165" formatCode="m/d/yy;@"/>
    <numFmt numFmtId="166" formatCode="h:mm;@"/>
    <numFmt numFmtId="167" formatCode="[$-409]mmmm\-yy;@"/>
    <numFmt numFmtId="168" formatCode="&quot;$&quot;#,##0.00"/>
    <numFmt numFmtId="169" formatCode="[$$-409]#,##0.00;\([$$-409]#,##0.00\);[$$-409]#,##0.00;@"/>
  </numFmts>
  <fonts count="20">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b/>
      <sz val="8"/>
      <color theme="0"/>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theme="5"/>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theme="5"/>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1" fillId="0" borderId="0" applyFont="0" applyFill="0" applyBorder="0" applyAlignment="0" applyProtection="0"/>
  </cellStyleXfs>
  <cellXfs count="183">
    <xf numFmtId="0" fontId="0" fillId="0" borderId="0" xfId="0"/>
    <xf numFmtId="14"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49" fontId="3"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165" fontId="1" fillId="2" borderId="8" xfId="0" applyNumberFormat="1" applyFont="1" applyFill="1" applyBorder="1" applyAlignment="1" applyProtection="1">
      <alignment horizontal="left"/>
      <protection locked="0"/>
    </xf>
    <xf numFmtId="164" fontId="1" fillId="0" borderId="8" xfId="0" applyNumberFormat="1" applyFont="1" applyBorder="1" applyProtection="1">
      <protection locked="0"/>
    </xf>
    <xf numFmtId="0" fontId="1" fillId="0" borderId="8" xfId="0" applyFont="1" applyBorder="1" applyProtection="1">
      <protection locked="0"/>
    </xf>
    <xf numFmtId="0" fontId="3" fillId="0" borderId="4"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6" xfId="0" applyFont="1" applyBorder="1" applyProtection="1">
      <protection locked="0"/>
    </xf>
    <xf numFmtId="0" fontId="1" fillId="0" borderId="0" xfId="0" applyFont="1"/>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10" xfId="0" applyFont="1" applyBorder="1" applyAlignment="1">
      <alignment wrapText="1"/>
    </xf>
    <xf numFmtId="1" fontId="1" fillId="0" borderId="11"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17"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165" fontId="1" fillId="0" borderId="0" xfId="0" applyNumberFormat="1" applyFont="1" applyAlignment="1" applyProtection="1">
      <alignment horizontal="left"/>
      <protection locked="0"/>
    </xf>
    <xf numFmtId="164" fontId="1" fillId="0" borderId="0" xfId="0" applyNumberFormat="1" applyFont="1" applyProtection="1">
      <protection locked="0"/>
    </xf>
    <xf numFmtId="0" fontId="6" fillId="0" borderId="0" xfId="1" applyFont="1" applyFill="1" applyBorder="1" applyAlignment="1" applyProtection="1">
      <alignment vertical="center" wrapText="1"/>
      <protection locked="0"/>
    </xf>
    <xf numFmtId="0" fontId="3" fillId="0" borderId="8" xfId="0" applyFont="1" applyBorder="1" applyProtection="1">
      <protection locked="0"/>
    </xf>
    <xf numFmtId="164" fontId="1" fillId="0" borderId="0" xfId="2" applyNumberFormat="1" applyAlignment="1" applyProtection="1">
      <alignment horizontal="center" wrapText="1"/>
      <protection locked="0"/>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49" fontId="1" fillId="0" borderId="2" xfId="2" applyNumberFormat="1" applyBorder="1" applyAlignment="1" applyProtection="1">
      <alignment horizontal="left"/>
      <protection locked="0"/>
    </xf>
    <xf numFmtId="165" fontId="1" fillId="0" borderId="0" xfId="2" applyNumberFormat="1" applyAlignment="1" applyProtection="1">
      <alignment horizontal="left"/>
      <protection locked="0"/>
    </xf>
    <xf numFmtId="164" fontId="1" fillId="0" borderId="0" xfId="2" applyNumberFormat="1" applyProtection="1">
      <protection locked="0"/>
    </xf>
    <xf numFmtId="0" fontId="1" fillId="0" borderId="0" xfId="2" applyProtection="1">
      <protection locked="0"/>
    </xf>
    <xf numFmtId="164" fontId="1" fillId="0" borderId="8" xfId="2" applyNumberFormat="1" applyBorder="1" applyProtection="1">
      <protection locked="0"/>
    </xf>
    <xf numFmtId="165" fontId="1" fillId="0" borderId="8" xfId="2" applyNumberFormat="1" applyBorder="1" applyAlignment="1" applyProtection="1">
      <alignment horizontal="left"/>
      <protection locked="0"/>
    </xf>
    <xf numFmtId="0" fontId="4" fillId="0" borderId="8" xfId="2" applyFont="1" applyBorder="1" applyProtection="1">
      <protection locked="0"/>
    </xf>
    <xf numFmtId="0" fontId="1" fillId="0" borderId="8" xfId="2" applyBorder="1" applyProtection="1">
      <protection locked="0"/>
    </xf>
    <xf numFmtId="165" fontId="3" fillId="0" borderId="0" xfId="2" applyNumberFormat="1" applyFont="1" applyAlignment="1" applyProtection="1">
      <alignment horizontal="center"/>
      <protection locked="0"/>
    </xf>
    <xf numFmtId="0" fontId="1" fillId="0" borderId="3" xfId="2" applyBorder="1" applyProtection="1">
      <protection locked="0"/>
    </xf>
    <xf numFmtId="0" fontId="1" fillId="2" borderId="9"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0" fontId="3" fillId="0" borderId="7" xfId="0" applyFont="1" applyBorder="1" applyProtection="1">
      <protection locked="0"/>
    </xf>
    <xf numFmtId="167" fontId="1" fillId="2" borderId="8" xfId="0" applyNumberFormat="1" applyFont="1" applyFill="1" applyBorder="1" applyAlignment="1" applyProtection="1">
      <alignment horizontal="left"/>
      <protection locked="0"/>
    </xf>
    <xf numFmtId="0" fontId="3" fillId="0" borderId="0" xfId="0" applyFont="1" applyProtection="1">
      <protection locked="0" hidden="1"/>
    </xf>
    <xf numFmtId="0" fontId="1" fillId="0" borderId="25"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14" fontId="1" fillId="0" borderId="24" xfId="0" applyNumberFormat="1" applyFont="1" applyBorder="1" applyAlignment="1" applyProtection="1">
      <alignment horizontal="center" vertical="center" wrapText="1"/>
      <protection locked="0"/>
    </xf>
    <xf numFmtId="164" fontId="1" fillId="0" borderId="24"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64" fontId="1" fillId="0" borderId="19" xfId="0" applyNumberFormat="1" applyFont="1" applyBorder="1" applyAlignment="1" applyProtection="1">
      <alignment horizontal="center" vertical="center" wrapText="1"/>
      <protection locked="0"/>
    </xf>
    <xf numFmtId="44" fontId="0" fillId="0" borderId="0" xfId="3" applyFont="1"/>
    <xf numFmtId="49" fontId="1" fillId="0" borderId="8" xfId="0" applyNumberFormat="1" applyFont="1" applyBorder="1" applyProtection="1">
      <protection locked="0"/>
    </xf>
    <xf numFmtId="49" fontId="1" fillId="0" borderId="0" xfId="2" applyNumberFormat="1" applyAlignment="1" applyProtection="1">
      <alignment horizontal="center" wrapText="1"/>
      <protection locked="0"/>
    </xf>
    <xf numFmtId="49" fontId="1" fillId="0" borderId="8" xfId="2" applyNumberFormat="1" applyBorder="1" applyProtection="1">
      <protection locked="0"/>
    </xf>
    <xf numFmtId="49" fontId="3" fillId="0" borderId="0" xfId="0" applyNumberFormat="1" applyFont="1" applyProtection="1">
      <protection locked="0"/>
    </xf>
    <xf numFmtId="0" fontId="1" fillId="0" borderId="2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4" fontId="1" fillId="0" borderId="0" xfId="3" applyFont="1"/>
    <xf numFmtId="49" fontId="13" fillId="5" borderId="30" xfId="0" applyNumberFormat="1" applyFont="1" applyFill="1" applyBorder="1" applyAlignment="1">
      <alignment horizontal="left" vertical="center" readingOrder="1"/>
    </xf>
    <xf numFmtId="169" fontId="13" fillId="5" borderId="30" xfId="0" applyNumberFormat="1" applyFont="1" applyFill="1" applyBorder="1" applyAlignment="1">
      <alignment horizontal="left" vertical="center" readingOrder="1"/>
    </xf>
    <xf numFmtId="0" fontId="13" fillId="5" borderId="30" xfId="0" applyFont="1" applyFill="1" applyBorder="1" applyAlignment="1">
      <alignment horizontal="left" vertical="center" readingOrder="1"/>
    </xf>
    <xf numFmtId="49" fontId="13" fillId="0" borderId="0" xfId="0" applyNumberFormat="1" applyFont="1" applyAlignment="1">
      <alignment horizontal="left" vertical="center" readingOrder="1"/>
    </xf>
    <xf numFmtId="0" fontId="3" fillId="0" borderId="0" xfId="0" applyFont="1" applyAlignment="1" applyProtection="1">
      <alignment horizontal="left"/>
      <protection locked="0"/>
    </xf>
    <xf numFmtId="0" fontId="6" fillId="6" borderId="6" xfId="0" applyFont="1" applyFill="1" applyBorder="1" applyAlignment="1" applyProtection="1">
      <alignment horizontal="center" vertical="center" wrapText="1"/>
      <protection locked="0"/>
    </xf>
    <xf numFmtId="49" fontId="6" fillId="6" borderId="20" xfId="0" applyNumberFormat="1" applyFont="1" applyFill="1" applyBorder="1" applyAlignment="1" applyProtection="1">
      <alignment horizontal="center" vertical="center" wrapText="1"/>
      <protection locked="0"/>
    </xf>
    <xf numFmtId="165" fontId="6" fillId="6" borderId="20" xfId="0" applyNumberFormat="1" applyFont="1" applyFill="1" applyBorder="1" applyAlignment="1" applyProtection="1">
      <alignment horizontal="center" vertical="center" wrapText="1"/>
      <protection locked="0"/>
    </xf>
    <xf numFmtId="164" fontId="6" fillId="6" borderId="20" xfId="0" applyNumberFormat="1" applyFont="1" applyFill="1" applyBorder="1" applyAlignment="1" applyProtection="1">
      <alignment horizontal="center" vertical="center" wrapText="1"/>
      <protection locked="0"/>
    </xf>
    <xf numFmtId="0" fontId="10" fillId="6" borderId="28"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left" vertical="center" wrapText="1"/>
      <protection locked="0"/>
    </xf>
    <xf numFmtId="0" fontId="10" fillId="6" borderId="18" xfId="0" applyFont="1" applyFill="1" applyBorder="1" applyAlignment="1" applyProtection="1">
      <alignment horizontal="center" vertical="center" wrapText="1"/>
      <protection locked="0"/>
    </xf>
    <xf numFmtId="49" fontId="6" fillId="6" borderId="20" xfId="0" applyNumberFormat="1" applyFont="1" applyFill="1" applyBorder="1" applyAlignment="1">
      <alignment horizontal="center" vertical="center" wrapText="1"/>
    </xf>
    <xf numFmtId="164" fontId="6" fillId="6" borderId="20" xfId="0" applyNumberFormat="1" applyFont="1" applyFill="1" applyBorder="1" applyAlignment="1">
      <alignment horizontal="center" vertical="center" wrapText="1"/>
    </xf>
    <xf numFmtId="17" fontId="6" fillId="6" borderId="20" xfId="0" applyNumberFormat="1" applyFont="1" applyFill="1" applyBorder="1" applyAlignment="1">
      <alignment horizontal="center" vertical="center"/>
    </xf>
    <xf numFmtId="17" fontId="6" fillId="6" borderId="20" xfId="0" applyNumberFormat="1" applyFont="1" applyFill="1" applyBorder="1" applyAlignment="1">
      <alignment horizontal="center" vertical="center" wrapText="1"/>
    </xf>
    <xf numFmtId="0" fontId="6" fillId="6" borderId="20" xfId="0" applyFont="1" applyFill="1" applyBorder="1" applyAlignment="1">
      <alignment horizontal="center" vertical="center" wrapText="1"/>
    </xf>
    <xf numFmtId="17" fontId="6" fillId="6" borderId="18" xfId="0" applyNumberFormat="1" applyFont="1" applyFill="1" applyBorder="1" applyAlignment="1">
      <alignment horizontal="center" vertical="center"/>
    </xf>
    <xf numFmtId="17" fontId="6" fillId="6" borderId="23" xfId="0" applyNumberFormat="1" applyFont="1" applyFill="1" applyBorder="1" applyAlignment="1">
      <alignment horizontal="center" vertical="center" wrapText="1"/>
    </xf>
    <xf numFmtId="49" fontId="1" fillId="0" borderId="24" xfId="0" applyNumberFormat="1" applyFont="1" applyBorder="1" applyAlignment="1">
      <alignment horizontal="center" vertical="center" wrapText="1"/>
    </xf>
    <xf numFmtId="166" fontId="1" fillId="0" borderId="24"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168" fontId="1" fillId="0" borderId="1"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0" fontId="10" fillId="3" borderId="18"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4" borderId="18" xfId="0" applyFont="1" applyFill="1" applyBorder="1" applyAlignment="1">
      <alignment horizontal="center" vertical="center" wrapText="1"/>
    </xf>
    <xf numFmtId="0" fontId="1" fillId="4" borderId="1" xfId="0"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 fontId="1" fillId="0" borderId="14" xfId="0" applyNumberFormat="1" applyFont="1" applyBorder="1" applyAlignment="1">
      <alignment horizontal="center" wrapText="1"/>
    </xf>
    <xf numFmtId="0" fontId="1" fillId="0" borderId="32" xfId="0" applyFont="1" applyBorder="1" applyAlignment="1">
      <alignment wrapText="1"/>
    </xf>
    <xf numFmtId="14" fontId="1" fillId="0" borderId="33" xfId="0" applyNumberFormat="1" applyFont="1" applyBorder="1" applyAlignment="1">
      <alignment wrapText="1"/>
    </xf>
    <xf numFmtId="1" fontId="1" fillId="0" borderId="33" xfId="0" applyNumberFormat="1" applyFont="1" applyBorder="1" applyAlignment="1">
      <alignment wrapText="1"/>
    </xf>
    <xf numFmtId="0" fontId="1" fillId="0" borderId="33" xfId="0" applyFont="1" applyBorder="1" applyAlignment="1">
      <alignment wrapText="1"/>
    </xf>
    <xf numFmtId="1" fontId="1" fillId="0" borderId="34" xfId="0" applyNumberFormat="1" applyFont="1" applyBorder="1" applyAlignment="1">
      <alignment horizontal="center" wrapText="1"/>
    </xf>
    <xf numFmtId="14" fontId="13" fillId="5" borderId="30" xfId="0" applyNumberFormat="1" applyFont="1" applyFill="1" applyBorder="1" applyAlignment="1">
      <alignment horizontal="left" vertical="center" readingOrder="1"/>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4" fillId="8" borderId="38" xfId="0" applyFont="1" applyFill="1" applyBorder="1" applyAlignment="1">
      <alignment horizontal="center" vertical="center"/>
    </xf>
    <xf numFmtId="0" fontId="15" fillId="0" borderId="0" xfId="0" applyFont="1"/>
    <xf numFmtId="0" fontId="5" fillId="0" borderId="1" xfId="1" applyBorder="1" applyAlignment="1" applyProtection="1"/>
    <xf numFmtId="0" fontId="5" fillId="0" borderId="38" xfId="1" applyBorder="1" applyAlignment="1" applyProtection="1"/>
    <xf numFmtId="0" fontId="16" fillId="8" borderId="38" xfId="0" applyFont="1" applyFill="1" applyBorder="1" applyAlignment="1">
      <alignment horizontal="center" vertical="center"/>
    </xf>
    <xf numFmtId="0" fontId="5" fillId="0" borderId="18" xfId="1" applyFill="1" applyBorder="1" applyAlignment="1" applyProtection="1"/>
    <xf numFmtId="0" fontId="5" fillId="0" borderId="33" xfId="1" applyFill="1" applyBorder="1" applyAlignment="1" applyProtection="1"/>
    <xf numFmtId="0" fontId="5" fillId="0" borderId="0" xfId="1" applyFill="1" applyBorder="1" applyAlignment="1" applyProtection="1"/>
    <xf numFmtId="0" fontId="5" fillId="0" borderId="18" xfId="1" applyBorder="1" applyAlignment="1" applyProtection="1">
      <alignment vertical="center"/>
    </xf>
    <xf numFmtId="0" fontId="5" fillId="0" borderId="18" xfId="1" applyBorder="1" applyAlignment="1" applyProtection="1"/>
    <xf numFmtId="0" fontId="5" fillId="0" borderId="33" xfId="1" applyBorder="1" applyAlignment="1" applyProtection="1"/>
    <xf numFmtId="0" fontId="17" fillId="0" borderId="0" xfId="0" applyFont="1"/>
    <xf numFmtId="0" fontId="3" fillId="0" borderId="18" xfId="0" applyFont="1" applyBorder="1"/>
    <xf numFmtId="0" fontId="0" fillId="0" borderId="18" xfId="0" applyBorder="1"/>
    <xf numFmtId="0" fontId="0" fillId="0" borderId="33" xfId="0" applyBorder="1"/>
    <xf numFmtId="0" fontId="6" fillId="6" borderId="35" xfId="0" applyFont="1" applyFill="1" applyBorder="1" applyAlignment="1">
      <alignment horizontal="center"/>
    </xf>
    <xf numFmtId="0" fontId="6" fillId="6" borderId="36" xfId="0" applyFont="1" applyFill="1" applyBorder="1" applyAlignment="1">
      <alignment horizontal="center"/>
    </xf>
    <xf numFmtId="8" fontId="6" fillId="6" borderId="15" xfId="0" applyNumberFormat="1" applyFont="1" applyFill="1" applyBorder="1" applyAlignment="1" applyProtection="1">
      <alignment horizontal="center"/>
      <protection locked="0"/>
    </xf>
    <xf numFmtId="1" fontId="6" fillId="6" borderId="36" xfId="0" applyNumberFormat="1" applyFont="1" applyFill="1" applyBorder="1" applyAlignment="1">
      <alignment horizontal="center"/>
    </xf>
    <xf numFmtId="1" fontId="6" fillId="6" borderId="37" xfId="0" applyNumberFormat="1" applyFont="1" applyFill="1" applyBorder="1" applyAlignment="1">
      <alignment horizontal="center"/>
    </xf>
    <xf numFmtId="17" fontId="18" fillId="0" borderId="0" xfId="0" applyNumberFormat="1" applyFont="1" applyAlignment="1" applyProtection="1">
      <alignment horizontal="left"/>
      <protection locked="0"/>
    </xf>
    <xf numFmtId="0" fontId="18" fillId="0" borderId="0" xfId="0" applyFont="1" applyAlignment="1" applyProtection="1">
      <alignment horizontal="left"/>
      <protection locked="0"/>
    </xf>
    <xf numFmtId="165" fontId="18" fillId="0" borderId="0" xfId="0" applyNumberFormat="1" applyFont="1" applyAlignment="1" applyProtection="1">
      <alignment horizontal="left"/>
      <protection locked="0"/>
    </xf>
    <xf numFmtId="164" fontId="18" fillId="0" borderId="0" xfId="0" applyNumberFormat="1" applyFont="1" applyProtection="1">
      <protection locked="0"/>
    </xf>
    <xf numFmtId="164" fontId="19" fillId="0" borderId="0" xfId="0" applyNumberFormat="1" applyFont="1" applyProtection="1">
      <protection locked="0"/>
    </xf>
    <xf numFmtId="49" fontId="19" fillId="0" borderId="0" xfId="0" applyNumberFormat="1" applyFont="1" applyProtection="1">
      <protection locked="0"/>
    </xf>
    <xf numFmtId="0" fontId="19" fillId="0" borderId="0" xfId="0" applyFont="1" applyProtection="1">
      <protection locked="0" hidden="1"/>
    </xf>
    <xf numFmtId="0" fontId="19" fillId="0" borderId="0" xfId="0" applyFont="1" applyProtection="1">
      <protection locked="0"/>
    </xf>
    <xf numFmtId="0" fontId="7" fillId="0" borderId="0" xfId="0" applyFont="1" applyAlignment="1" applyProtection="1">
      <alignment horizontal="center"/>
      <protection locked="0"/>
    </xf>
    <xf numFmtId="0" fontId="1" fillId="0" borderId="0" xfId="0" applyFont="1" applyAlignment="1">
      <alignment horizontal="center" wrapText="1"/>
    </xf>
    <xf numFmtId="0" fontId="6" fillId="0" borderId="0" xfId="0" applyFont="1" applyAlignment="1" applyProtection="1">
      <alignment horizontal="center"/>
      <protection locked="0"/>
    </xf>
    <xf numFmtId="0" fontId="12" fillId="0" borderId="0" xfId="0" applyFont="1" applyAlignment="1" applyProtection="1">
      <alignment horizontal="center" vertical="center" wrapText="1"/>
      <protection locked="0"/>
    </xf>
    <xf numFmtId="17" fontId="6" fillId="0" borderId="0" xfId="0" applyNumberFormat="1" applyFont="1" applyAlignment="1" applyProtection="1">
      <alignment horizontal="center" vertical="center" wrapText="1"/>
      <protection locked="0"/>
    </xf>
    <xf numFmtId="168" fontId="1" fillId="0" borderId="0" xfId="0" applyNumberFormat="1" applyFont="1" applyAlignment="1">
      <alignment horizontal="center" vertical="center" wrapText="1"/>
    </xf>
    <xf numFmtId="0" fontId="6" fillId="0" borderId="0" xfId="1" applyFont="1" applyFill="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4" fontId="1" fillId="0" borderId="0" xfId="3" applyFont="1" applyBorder="1"/>
    <xf numFmtId="49" fontId="1" fillId="0" borderId="33" xfId="0" applyNumberFormat="1" applyFont="1" applyBorder="1" applyAlignment="1">
      <alignment horizontal="center" vertical="center" wrapText="1"/>
    </xf>
    <xf numFmtId="49" fontId="10" fillId="6" borderId="18" xfId="0" applyNumberFormat="1" applyFont="1" applyFill="1" applyBorder="1" applyAlignment="1">
      <alignment horizontal="center" vertical="center" wrapText="1"/>
    </xf>
    <xf numFmtId="0" fontId="1" fillId="0" borderId="1" xfId="0" applyFont="1" applyBorder="1" applyAlignment="1" applyProtection="1">
      <alignment horizontal="center" vertical="center" wrapText="1" shrinkToFit="1"/>
      <protection locked="0"/>
    </xf>
    <xf numFmtId="0" fontId="6" fillId="6" borderId="4" xfId="1" applyFont="1" applyFill="1" applyBorder="1" applyAlignment="1" applyProtection="1">
      <alignment horizontal="center" vertical="center" wrapText="1"/>
      <protection locked="0"/>
    </xf>
    <xf numFmtId="0" fontId="6" fillId="6" borderId="5" xfId="1" applyFont="1" applyFill="1" applyBorder="1" applyAlignment="1" applyProtection="1">
      <alignment horizontal="center" vertical="center" wrapText="1"/>
      <protection locked="0"/>
    </xf>
    <xf numFmtId="0" fontId="6" fillId="6" borderId="7" xfId="1" applyFont="1" applyFill="1" applyBorder="1" applyAlignment="1" applyProtection="1">
      <alignment horizontal="center" vertical="center" wrapText="1"/>
      <protection locked="0"/>
    </xf>
    <xf numFmtId="0" fontId="6" fillId="6" borderId="8" xfId="1"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protection locked="0"/>
    </xf>
    <xf numFmtId="0" fontId="6" fillId="6" borderId="17" xfId="0" applyFont="1" applyFill="1" applyBorder="1" applyAlignment="1" applyProtection="1">
      <alignment horizontal="center"/>
      <protection locked="0"/>
    </xf>
    <xf numFmtId="0" fontId="6" fillId="6" borderId="5"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6" xfId="0" applyFont="1" applyBorder="1" applyAlignment="1">
      <alignment horizontal="center" wrapText="1"/>
    </xf>
    <xf numFmtId="0" fontId="1" fillId="0" borderId="0" xfId="0" applyFont="1" applyAlignment="1">
      <alignment horizontal="center" wrapText="1"/>
    </xf>
    <xf numFmtId="14" fontId="4" fillId="0" borderId="2" xfId="2" applyNumberFormat="1"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2" fillId="4" borderId="41"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51">
    <dxf>
      <font>
        <b val="0"/>
        <i val="0"/>
        <strike val="0"/>
        <condense val="0"/>
        <extend val="0"/>
        <outline val="0"/>
        <shadow val="0"/>
        <u val="none"/>
        <vertAlign val="baseline"/>
        <sz val="10"/>
        <color auto="1"/>
        <name val="Arial"/>
        <family val="2"/>
        <scheme val="none"/>
      </font>
      <numFmt numFmtId="168"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right style="thin">
          <color indexed="64"/>
        </right>
        <top/>
        <bottom/>
      </border>
      <protection locked="0" hidden="0"/>
    </dxf>
    <dxf>
      <fill>
        <patternFill>
          <bgColor theme="5" tint="0.39994506668294322"/>
        </patternFill>
      </fill>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6" formatCode="h:mm;@"/>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protection locked="0" hidden="0"/>
    </dxf>
    <dxf>
      <fill>
        <patternFill patternType="solid">
          <fgColor indexed="64"/>
          <bgColor theme="7" tint="-0.249977111117893"/>
        </patternFill>
      </fill>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2405062</xdr:colOff>
      <xdr:row>17</xdr:row>
      <xdr:rowOff>130969</xdr:rowOff>
    </xdr:from>
    <xdr:ext cx="184731" cy="264560"/>
    <xdr:sp macro="" textlink="">
      <xdr:nvSpPr>
        <xdr:cNvPr id="8" name="TextBox 7">
          <a:extLst>
            <a:ext uri="{FF2B5EF4-FFF2-40B4-BE49-F238E27FC236}">
              <a16:creationId xmlns:a16="http://schemas.microsoft.com/office/drawing/2014/main" id="{24B47782-BD00-4306-A2A0-E86C890E7D00}"/>
            </a:ext>
          </a:extLst>
        </xdr:cNvPr>
        <xdr:cNvSpPr txBox="1"/>
      </xdr:nvSpPr>
      <xdr:spPr>
        <a:xfrm>
          <a:off x="4071937" y="3064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43</xdr:row>
      <xdr:rowOff>130969</xdr:rowOff>
    </xdr:from>
    <xdr:ext cx="184731" cy="264560"/>
    <xdr:sp macro="" textlink="">
      <xdr:nvSpPr>
        <xdr:cNvPr id="4" name="TextBox 3">
          <a:extLst>
            <a:ext uri="{FF2B5EF4-FFF2-40B4-BE49-F238E27FC236}">
              <a16:creationId xmlns:a16="http://schemas.microsoft.com/office/drawing/2014/main" id="{C0A98596-DBC4-401F-A7C5-451EA6F162DF}"/>
            </a:ext>
          </a:extLst>
        </xdr:cNvPr>
        <xdr:cNvSpPr txBox="1"/>
      </xdr:nvSpPr>
      <xdr:spPr>
        <a:xfrm>
          <a:off x="4071937"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71</xdr:row>
      <xdr:rowOff>0</xdr:rowOff>
    </xdr:from>
    <xdr:ext cx="184731" cy="264560"/>
    <xdr:sp macro="" textlink="">
      <xdr:nvSpPr>
        <xdr:cNvPr id="6" name="TextBox 5">
          <a:extLst>
            <a:ext uri="{FF2B5EF4-FFF2-40B4-BE49-F238E27FC236}">
              <a16:creationId xmlns:a16="http://schemas.microsoft.com/office/drawing/2014/main" id="{D3F7FE7F-45F0-49B2-B483-25EDEBEF3590}"/>
            </a:ext>
          </a:extLst>
        </xdr:cNvPr>
        <xdr:cNvSpPr txBox="1"/>
      </xdr:nvSpPr>
      <xdr:spPr>
        <a:xfrm>
          <a:off x="4071937" y="7108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104775</xdr:rowOff>
    </xdr:from>
    <xdr:to>
      <xdr:col>0</xdr:col>
      <xdr:colOff>4924425</xdr:colOff>
      <xdr:row>31</xdr:row>
      <xdr:rowOff>53191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676650"/>
          <a:ext cx="4924425" cy="17295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6:U71" totalsRowCount="1" headerRowDxfId="50" dataDxfId="49" tableBorderDxfId="48">
  <tableColumns count="21">
    <tableColumn id="1" xr3:uid="{BA8FE7BE-E48F-46CA-9E39-6EB2F0A36458}" name="Approved Service Provided" dataDxfId="47" totalsRowDxfId="20"/>
    <tableColumn id="2" xr3:uid="{7E88F6D8-C30D-4D7A-A1A0-F8BFAE83DDF7}" name="Detailed Description of Service Provided" dataDxfId="46" totalsRowDxfId="19"/>
    <tableColumn id="23" xr3:uid="{C5B36539-9047-4262-AF55-BD97244858EE}" name="County of Service" dataDxfId="45" totalsRowDxfId="18"/>
    <tableColumn id="3" xr3:uid="{F0F0D0E9-6834-449A-9033-BF1CC8653E96}" name="Date of Service" dataDxfId="44" totalsRowDxfId="17"/>
    <tableColumn id="4" xr3:uid="{DF1ECEC7-8CE3-4F64-9F99-E6BF1CA89429}" name="Time In HH:MM AM/PM" dataDxfId="43" totalsRowDxfId="16"/>
    <tableColumn id="5" xr3:uid="{C532DEF7-2EAC-4C90-BE42-91F188E079AE}" name="Time Out HH:MM AM/PM" totalsRowLabel="Totals" dataDxfId="42" totalsRowDxfId="15"/>
    <tableColumn id="15" xr3:uid="{EEF7EEF9-114B-4574-AC6D-4B0E071C939D}" name="Waiver" dataDxfId="41" totalsRowDxfId="14">
      <calculatedColumnFormula>$D$3</calculatedColumnFormula>
    </tableColumn>
    <tableColumn id="14" xr3:uid="{FA1D3579-1B4D-4DBA-90ED-40DC39F34C5C}" name="Combined" dataDxfId="40" totalsRowDxfId="13">
      <calculatedColumnFormula>Table8[[#This Row],[Program Code]]&amp;Table8[[#This Row],[Approved Service Provided]]&amp;Table8[[#This Row],[County of Service]]</calculatedColumnFormula>
    </tableColumn>
    <tableColumn id="18" xr3:uid="{3A846646-07B1-43B8-A284-247113CAD8F3}" name="Program Code" dataDxfId="39" totalsRowDxfId="12">
      <calculatedColumnFormula>IF(Table8[[#This Row],[Waiver]]="State SLS", "8", IF(Table8[[#This Row],[Waiver]]="OBRA", "9", ""))</calculatedColumnFormula>
    </tableColumn>
    <tableColumn id="19" xr3:uid="{6479694E-4DFE-4F38-9446-DAE72C3A2ACF}" name="Formula2" dataDxfId="38" totalsRowDxfId="11">
      <calculatedColumnFormula>IFERROR(VLOOKUP(Table8[[#This Row],[Combined]],'Optimax Rates'!D:E,2,FALSE),"")</calculatedColumnFormula>
    </tableColumn>
    <tableColumn id="17" xr3:uid="{5E880EF0-ACF7-467A-8EC8-FE2A896B0E50}" name="Formula3" dataDxfId="37" totalsRowDxfId="10">
      <calculatedColumnFormula>TEXT(Table8[[#This Row],[Date of Service]],"m/dd/yyyy ")&amp;" "&amp;TEXT(Table8[[#This Row],[Time In HH:MM AM/PM]],"hh:mm")</calculatedColumnFormula>
    </tableColumn>
    <tableColumn id="21" xr3:uid="{0E681C94-C011-49A3-8247-94A547CB60BB}" name="Formula4" dataDxfId="36" totalsRowDxfId="9">
      <calculatedColumnFormula>TEXT(Table8[[#This Row],[Date of Service]],"m/dd/yyyy ")&amp;" "&amp;TEXT(Table8[[#This Row],[Time Out HH:MM AM/PM]],"hh:mm")</calculatedColumnFormula>
    </tableColumn>
    <tableColumn id="22" xr3:uid="{7CB0B380-24DA-4E1D-A892-CD68113666C1}" name="Overlap" dataDxfId="35" totalsRowDxfId="8">
      <calculatedColumnFormula array="1">SUMPRODUCT((Table8[[#This Row],[Formula3]]&lt;$L$7:$L$70)*(Table8[[#This Row],[Formula4]]&gt;=$K$7:$K$70))&gt;1</calculatedColumnFormula>
    </tableColumn>
    <tableColumn id="6" xr3:uid="{532B9C62-7D8D-4AB4-8F42-DFE031FD42AA}" name="Formula 1" dataDxfId="34" totalsRowDxfId="7"/>
    <tableColumn id="7" xr3:uid="{0D00B28A-B6BD-4385-8349-320ADE0A1E03}" name="Formula 2" dataDxfId="33" totalsRowDxfId="6"/>
    <tableColumn id="8" xr3:uid="{4B3D0B7F-08D2-43C8-8C85-9348BAD07F2C}" name="Hours" dataDxfId="32" totalsRowDxfId="5"/>
    <tableColumn id="9" xr3:uid="{3FB5F165-E797-4ACC-80EC-CF36AF97FAA0}" name="Minutes" dataDxfId="31" totalsRowDxfId="4"/>
    <tableColumn id="10" xr3:uid="{B7F0FAF4-7DBE-4521-BBAC-F6BCEE62D8AC}" name="Total Minutes" totalsRowFunction="sum" dataDxfId="30" totalsRowDxfId="3"/>
    <tableColumn id="11" xr3:uid="{E408B624-D95C-4777-BCDC-1DDD88FD4DE7}" name="Units" totalsRowFunction="sum" dataDxfId="29" totalsRowDxfId="2">
      <calculatedColumnFormula>IF(ISBLANK(Table8[[#This Row],[Approved Service Provided]]),"",IF(OR(Table8[[#This Row],[Formula2]]="DAYS",Table8[[#This Row],[Formula2]]="TRIP"),1,ROUNDDOWN((Table8[[#This Row],[Total Minutes]]+7)/15,0)))</calculatedColumnFormula>
    </tableColumn>
    <tableColumn id="12" xr3:uid="{922E7A77-C5C8-4100-A1C4-333777E2AEB1}" name="Rate" dataDxfId="28" totalsRowDxfId="1">
      <calculatedColumnFormula>IFERROR(VLOOKUP(Table8[[#This Row],[Combined]],'Optimax Rates'!D:G,4,FALSE),"")</calculatedColumnFormula>
    </tableColumn>
    <tableColumn id="13" xr3:uid="{256BC176-09C6-43A8-BBC9-E37651ACF1B3}" name="Total Amount" totalsRowFunction="sum" dataDxfId="27" totalsRowDxfId="0">
      <calculatedColumnFormula>IF(Table8[[#This Row],[Rate]]="","",Table8[[#This Row],[Units]]*Table8[[#This Row],[Rate]])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26">
  <autoFilter ref="A1:C19" xr:uid="{B3B84840-3426-437B-9B69-16C439E903B3}"/>
  <tableColumns count="3">
    <tableColumn id="1" xr3:uid="{DF3A9821-949B-4C9B-9984-EF1CA7BF9CE4}" name="Service" dataDxfId="25"/>
    <tableColumn id="2" xr3:uid="{B177573D-F22E-4424-8813-2135993A7384}" name="Definition" dataDxfId="24"/>
    <tableColumn id="3" xr3:uid="{EE4D2E27-7D2A-4226-A16C-B9A824C4FE44}" name="Additional Notes" dataDxfId="23"/>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1"/>
  <sheetViews>
    <sheetView showGridLines="0" tabSelected="1" zoomScaleNormal="100" zoomScaleSheetLayoutView="40" zoomScalePageLayoutView="50" workbookViewId="0">
      <selection activeCell="A7" sqref="A7"/>
    </sheetView>
  </sheetViews>
  <sheetFormatPr defaultRowHeight="12.75"/>
  <cols>
    <col min="1" max="1" width="29.7109375" style="5" customWidth="1"/>
    <col min="2" max="2" width="60.42578125" style="6" customWidth="1"/>
    <col min="3" max="3" width="19" style="7" customWidth="1"/>
    <col min="4" max="4" width="12" style="8" customWidth="1"/>
    <col min="5" max="5" width="12.85546875" style="8" customWidth="1"/>
    <col min="6" max="6" width="12.85546875" style="68" customWidth="1"/>
    <col min="7" max="7" width="12.85546875" style="8" hidden="1" customWidth="1"/>
    <col min="8" max="8" width="54.42578125" style="8" hidden="1" customWidth="1"/>
    <col min="9" max="9" width="10.42578125" style="8" hidden="1" customWidth="1"/>
    <col min="10" max="14" width="18.140625" style="8" hidden="1" customWidth="1"/>
    <col min="15" max="16" width="12.28515625" style="55" hidden="1" customWidth="1"/>
    <col min="17" max="17" width="9.140625" style="55" hidden="1" customWidth="1"/>
    <col min="18" max="18" width="10.140625" style="55" hidden="1" customWidth="1"/>
    <col min="19" max="19" width="15.28515625" style="5" customWidth="1"/>
    <col min="20" max="20" width="10" style="5" customWidth="1"/>
    <col min="21" max="21" width="19.28515625" style="5" customWidth="1"/>
    <col min="22" max="25" width="11" style="5" customWidth="1"/>
    <col min="26" max="26" width="9.140625" style="5" customWidth="1"/>
    <col min="27" max="27" width="9.140625" style="5"/>
    <col min="28" max="28" width="11.28515625" style="5" customWidth="1"/>
    <col min="29" max="16384" width="9.140625" style="5"/>
  </cols>
  <sheetData>
    <row r="1" spans="1:31" ht="13.5" thickBot="1">
      <c r="A1" s="166" t="s">
        <v>158</v>
      </c>
      <c r="B1" s="167"/>
      <c r="C1" s="168"/>
      <c r="D1" s="167"/>
      <c r="E1" s="167"/>
      <c r="F1" s="167"/>
      <c r="G1" s="167"/>
      <c r="H1" s="167"/>
      <c r="I1" s="167"/>
      <c r="J1" s="167"/>
      <c r="K1" s="167"/>
      <c r="L1" s="167"/>
      <c r="M1" s="167"/>
      <c r="N1" s="167"/>
      <c r="O1" s="167"/>
      <c r="P1" s="167"/>
      <c r="Q1" s="167"/>
      <c r="R1" s="167"/>
      <c r="S1" s="167"/>
      <c r="T1" s="167"/>
      <c r="U1" s="167"/>
      <c r="V1" s="151"/>
      <c r="W1" s="151"/>
      <c r="X1" s="151"/>
      <c r="Y1" s="151"/>
    </row>
    <row r="2" spans="1:31" s="3" customFormat="1" ht="17.25" customHeight="1">
      <c r="A2" s="12" t="s">
        <v>108</v>
      </c>
      <c r="B2" s="50"/>
      <c r="C2" s="5" t="s">
        <v>69</v>
      </c>
      <c r="D2" s="177"/>
      <c r="E2" s="177"/>
      <c r="F2" s="177"/>
      <c r="G2" s="177"/>
      <c r="H2" s="177"/>
      <c r="I2" s="177"/>
      <c r="J2" s="177"/>
      <c r="K2" s="177"/>
      <c r="L2" s="177"/>
      <c r="M2" s="177"/>
      <c r="N2" s="177"/>
      <c r="O2" s="177"/>
      <c r="P2" s="177"/>
      <c r="Q2" s="177"/>
      <c r="R2" s="177"/>
      <c r="S2" s="177"/>
      <c r="T2" s="178"/>
      <c r="U2" s="179" t="s">
        <v>107</v>
      </c>
      <c r="V2" s="152"/>
      <c r="W2" s="152"/>
      <c r="X2" s="152"/>
      <c r="Y2" s="152"/>
    </row>
    <row r="3" spans="1:31" s="3" customFormat="1" ht="12.75" customHeight="1">
      <c r="A3" s="13" t="s">
        <v>0</v>
      </c>
      <c r="B3" s="51"/>
      <c r="C3" s="76" t="s">
        <v>68</v>
      </c>
      <c r="D3" s="174"/>
      <c r="E3" s="174"/>
      <c r="F3" s="174"/>
      <c r="G3" s="174"/>
      <c r="H3" s="174"/>
      <c r="I3" s="174"/>
      <c r="J3" s="174"/>
      <c r="K3" s="174"/>
      <c r="L3" s="174"/>
      <c r="M3" s="174"/>
      <c r="N3" s="174"/>
      <c r="O3" s="174"/>
      <c r="P3" s="174"/>
      <c r="Q3" s="174"/>
      <c r="R3" s="174"/>
      <c r="S3" s="174"/>
      <c r="T3" s="174"/>
      <c r="U3" s="180"/>
      <c r="V3" s="152"/>
      <c r="W3" s="152"/>
      <c r="X3" s="152"/>
      <c r="Y3" s="152"/>
      <c r="AB3" s="15"/>
    </row>
    <row r="4" spans="1:31" s="3" customFormat="1" ht="14.25" customHeight="1">
      <c r="A4" s="14" t="s">
        <v>1</v>
      </c>
      <c r="B4" s="52"/>
      <c r="C4" s="5" t="s">
        <v>2</v>
      </c>
      <c r="D4" s="175"/>
      <c r="E4" s="175"/>
      <c r="F4" s="175"/>
      <c r="G4" s="175"/>
      <c r="H4" s="175"/>
      <c r="I4" s="175"/>
      <c r="J4" s="175"/>
      <c r="K4" s="175"/>
      <c r="L4" s="175"/>
      <c r="M4" s="175"/>
      <c r="N4" s="175"/>
      <c r="O4" s="175"/>
      <c r="P4" s="175"/>
      <c r="Q4" s="175"/>
      <c r="R4" s="175"/>
      <c r="S4" s="175"/>
      <c r="T4" s="176"/>
      <c r="U4" s="180"/>
      <c r="V4" s="152"/>
      <c r="W4" s="152"/>
      <c r="X4" s="152"/>
      <c r="Y4" s="152"/>
    </row>
    <row r="5" spans="1:31" s="3" customFormat="1" ht="9" customHeight="1" thickBot="1">
      <c r="A5" s="53"/>
      <c r="B5" s="54"/>
      <c r="C5" s="9"/>
      <c r="D5" s="10"/>
      <c r="E5" s="10"/>
      <c r="F5" s="65"/>
      <c r="G5" s="10"/>
      <c r="H5" s="10"/>
      <c r="I5" s="10"/>
      <c r="J5" s="10"/>
      <c r="K5" s="10"/>
      <c r="L5" s="10"/>
      <c r="M5" s="10"/>
      <c r="N5" s="10"/>
      <c r="O5" s="11"/>
      <c r="P5" s="11"/>
      <c r="Q5" s="11"/>
      <c r="R5" s="11"/>
      <c r="S5" s="11"/>
      <c r="T5" s="11"/>
      <c r="U5" s="181"/>
      <c r="V5" s="152"/>
      <c r="W5" s="152"/>
      <c r="X5" s="152"/>
      <c r="Y5" s="152"/>
    </row>
    <row r="6" spans="1:31" s="18" customFormat="1" ht="40.5" customHeight="1" thickBot="1">
      <c r="A6" s="77" t="s">
        <v>3</v>
      </c>
      <c r="B6" s="78" t="s">
        <v>4</v>
      </c>
      <c r="C6" s="78" t="s">
        <v>150</v>
      </c>
      <c r="D6" s="79" t="s">
        <v>5</v>
      </c>
      <c r="E6" s="80" t="s">
        <v>6</v>
      </c>
      <c r="F6" s="80" t="s">
        <v>7</v>
      </c>
      <c r="G6" s="84" t="s">
        <v>8</v>
      </c>
      <c r="H6" s="85" t="s">
        <v>9</v>
      </c>
      <c r="I6" s="85" t="s">
        <v>153</v>
      </c>
      <c r="J6" s="85" t="s">
        <v>10</v>
      </c>
      <c r="K6" s="85" t="s">
        <v>11</v>
      </c>
      <c r="L6" s="85" t="s">
        <v>12</v>
      </c>
      <c r="M6" s="85" t="s">
        <v>13</v>
      </c>
      <c r="N6" s="86" t="s">
        <v>14</v>
      </c>
      <c r="O6" s="86" t="s">
        <v>15</v>
      </c>
      <c r="P6" s="86" t="s">
        <v>16</v>
      </c>
      <c r="Q6" s="86" t="s">
        <v>17</v>
      </c>
      <c r="R6" s="87" t="s">
        <v>18</v>
      </c>
      <c r="S6" s="88" t="s">
        <v>19</v>
      </c>
      <c r="T6" s="89" t="s">
        <v>20</v>
      </c>
      <c r="U6" s="90" t="s">
        <v>21</v>
      </c>
      <c r="V6" s="153"/>
      <c r="W6" s="153"/>
      <c r="X6" s="153"/>
    </row>
    <row r="7" spans="1:31" s="30" customFormat="1" ht="13.5" thickBot="1">
      <c r="A7" s="56"/>
      <c r="B7" s="58"/>
      <c r="C7" s="156"/>
      <c r="D7" s="59"/>
      <c r="E7" s="60"/>
      <c r="F7" s="60"/>
      <c r="G7" s="91">
        <f t="shared" ref="G7:G38" si="0">$D$3</f>
        <v>0</v>
      </c>
      <c r="H7" t="str">
        <f>Table8[[#This Row],[Program Code]]&amp;Table8[[#This Row],[Approved Service Provided]]&amp;Table8[[#This Row],[County of Service]]</f>
        <v/>
      </c>
      <c r="I7" t="str">
        <f>IF(Table8[[#This Row],[Waiver]]="State SLS", "8", IF(Table8[[#This Row],[Waiver]]="OBRA", "9", ""))</f>
        <v/>
      </c>
      <c r="J7" t="str">
        <f>IFERROR(VLOOKUP(Table8[[#This Row],[Combined]],'Optimax Rates'!D:E,2,FALSE),"")</f>
        <v/>
      </c>
      <c r="K7" t="str">
        <f>TEXT(Table8[[#This Row],[Date of Service]],"m/dd/yyyy ")&amp;" "&amp;TEXT(Table8[[#This Row],[Time In HH:MM AM/PM]],"hh:mm")</f>
        <v>1/00/1900  00:00</v>
      </c>
      <c r="L7" t="str">
        <f>TEXT(Table8[[#This Row],[Date of Service]],"m/dd/yyyy ")&amp;" "&amp;TEXT(Table8[[#This Row],[Time Out HH:MM AM/PM]],"hh:mm")</f>
        <v>1/00/1900  00:00</v>
      </c>
      <c r="M7" t="b" cm="1">
        <f t="array" ref="M7">SUMPRODUCT((Table8[[#This Row],[Formula3]]&lt;$L$7:$L$70)*(Table8[[#This Row],[Formula4]]&gt;=$K$7:$K$70))&gt;1</f>
        <v>0</v>
      </c>
      <c r="N7" s="92">
        <f>Table8[[#This Row],[Time Out HH:MM AM/PM]]-Table8[[#This Row],[Time In HH:MM AM/PM]]</f>
        <v>0</v>
      </c>
      <c r="O7" s="93" t="str">
        <f>TEXT(Table8[[#This Row],[Formula 1]],"HH:MM")</f>
        <v>00:00</v>
      </c>
      <c r="P7" s="93" t="str">
        <f>LEFT(Table8[[#This Row],[Formula 2]],SEARCH(":",Table8[[#This Row],[Formula 2]])-1)</f>
        <v>00</v>
      </c>
      <c r="Q7" s="93" t="str">
        <f>RIGHT(Table8[[#This Row],[Formula 2]],SEARCH(":",Table8[[#This Row],[Formula 2]])-1)</f>
        <v>00</v>
      </c>
      <c r="R7" s="93">
        <f>Table8[[#This Row],[Hours]]*60+Table8[[#This Row],[Minutes]]</f>
        <v>0</v>
      </c>
      <c r="S7" s="94" t="str">
        <f>IF(ISBLANK(Table8[[#This Row],[Approved Service Provided]]),"",IF(OR(Table8[[#This Row],[Formula2]]="DAYS",Table8[[#This Row],[Formula2]]="TRIP"),1,ROUNDDOWN((Table8[[#This Row],[Total Minutes]]+7)/15,0)))</f>
        <v/>
      </c>
      <c r="T7" s="95" t="str">
        <f>IFERROR(VLOOKUP(Table8[[#This Row],[Combined]],'Optimax Rates'!D:G,4,FALSE),"")</f>
        <v/>
      </c>
      <c r="U7" s="95" t="str">
        <f>IF(Table8[[#This Row],[Rate]]="","",Table8[[#This Row],[Units]]*Table8[[#This Row],[Rate]])</f>
        <v/>
      </c>
      <c r="V7" s="154"/>
      <c r="W7" s="154"/>
      <c r="X7" s="154"/>
    </row>
    <row r="8" spans="1:31" s="30" customFormat="1" ht="13.5" thickBot="1">
      <c r="A8" s="19"/>
      <c r="B8" s="70"/>
      <c r="C8" s="70"/>
      <c r="D8" s="1"/>
      <c r="E8" s="2"/>
      <c r="F8" s="2"/>
      <c r="G8" s="96">
        <f t="shared" si="0"/>
        <v>0</v>
      </c>
      <c r="H8" t="str">
        <f>Table8[[#This Row],[Program Code]]&amp;Table8[[#This Row],[Approved Service Provided]]&amp;Table8[[#This Row],[County of Service]]</f>
        <v/>
      </c>
      <c r="I8" t="str">
        <f>IF(Table8[[#This Row],[Waiver]]="State SLS", "8", IF(Table8[[#This Row],[Waiver]]="OBRA", "9", ""))</f>
        <v/>
      </c>
      <c r="J8" t="str">
        <f>IFERROR(VLOOKUP(Table8[[#This Row],[Combined]],'Optimax Rates'!D:E,2,FALSE),"")</f>
        <v/>
      </c>
      <c r="K8" t="str">
        <f>TEXT(Table8[[#This Row],[Date of Service]],"m/dd/yyyy ")&amp;" "&amp;TEXT(Table8[[#This Row],[Time In HH:MM AM/PM]],"hh:mm")</f>
        <v>1/00/1900  00:00</v>
      </c>
      <c r="L8" t="str">
        <f>TEXT(Table8[[#This Row],[Date of Service]],"m/dd/yyyy ")&amp;" "&amp;TEXT(Table8[[#This Row],[Time Out HH:MM AM/PM]],"hh:mm")</f>
        <v>1/00/1900  00:00</v>
      </c>
      <c r="M8" t="b" cm="1">
        <f t="array" ref="M8">SUMPRODUCT((Table8[[#This Row],[Formula3]]&lt;$L$7:$L$70)*(Table8[[#This Row],[Formula4]]&gt;=$K$7:$K$70))&gt;1</f>
        <v>0</v>
      </c>
      <c r="N8" s="92">
        <f>Table8[[#This Row],[Time Out HH:MM AM/PM]]-Table8[[#This Row],[Time In HH:MM AM/PM]]</f>
        <v>0</v>
      </c>
      <c r="O8" s="93" t="str">
        <f>TEXT(Table8[[#This Row],[Formula 1]],"HH:MM")</f>
        <v>00:00</v>
      </c>
      <c r="P8" s="93" t="str">
        <f>LEFT(Table8[[#This Row],[Formula 2]],SEARCH(":",Table8[[#This Row],[Formula 2]])-1)</f>
        <v>00</v>
      </c>
      <c r="Q8" s="93" t="str">
        <f>RIGHT(Table8[[#This Row],[Formula 2]],SEARCH(":",Table8[[#This Row],[Formula 2]])-1)</f>
        <v>00</v>
      </c>
      <c r="R8" s="93">
        <f>Table8[[#This Row],[Hours]]*60+Table8[[#This Row],[Minutes]]</f>
        <v>0</v>
      </c>
      <c r="S8" s="94" t="str">
        <f>IF(ISBLANK(Table8[[#This Row],[Approved Service Provided]]),"",IF(OR(Table8[[#This Row],[Formula2]]="DAYS",Table8[[#This Row],[Formula2]]="TRIP"),1,ROUNDDOWN((Table8[[#This Row],[Total Minutes]]+7)/15,0)))</f>
        <v/>
      </c>
      <c r="T8" s="95" t="str">
        <f>IFERROR(VLOOKUP(Table8[[#This Row],[Combined]],'Optimax Rates'!D:G,4,FALSE),"")</f>
        <v/>
      </c>
      <c r="U8" s="95" t="str">
        <f>IF(Table8[[#This Row],[Rate]]="","",Table8[[#This Row],[Units]]*Table8[[#This Row],[Rate]])</f>
        <v/>
      </c>
      <c r="V8" s="154"/>
      <c r="W8" s="154"/>
      <c r="X8" s="154"/>
    </row>
    <row r="9" spans="1:31" s="4" customFormat="1" ht="13.5" thickBot="1">
      <c r="A9" s="19"/>
      <c r="B9" s="16"/>
      <c r="C9" s="70"/>
      <c r="D9" s="1"/>
      <c r="E9" s="2"/>
      <c r="F9" s="2"/>
      <c r="G9" s="96">
        <f t="shared" si="0"/>
        <v>0</v>
      </c>
      <c r="H9" t="str">
        <f>Table8[[#This Row],[Program Code]]&amp;Table8[[#This Row],[Approved Service Provided]]&amp;Table8[[#This Row],[County of Service]]</f>
        <v/>
      </c>
      <c r="I9" t="str">
        <f>IF(Table8[[#This Row],[Waiver]]="State SLS", "8", IF(Table8[[#This Row],[Waiver]]="OBRA", "9", ""))</f>
        <v/>
      </c>
      <c r="J9" t="str">
        <f>IFERROR(VLOOKUP(Table8[[#This Row],[Combined]],'Optimax Rates'!D:E,2,FALSE),"")</f>
        <v/>
      </c>
      <c r="K9" t="str">
        <f>TEXT(Table8[[#This Row],[Date of Service]],"m/dd/yyyy ")&amp;" "&amp;TEXT(Table8[[#This Row],[Time In HH:MM AM/PM]],"hh:mm")</f>
        <v>1/00/1900  00:00</v>
      </c>
      <c r="L9" t="str">
        <f>TEXT(Table8[[#This Row],[Date of Service]],"m/dd/yyyy ")&amp;" "&amp;TEXT(Table8[[#This Row],[Time Out HH:MM AM/PM]],"hh:mm")</f>
        <v>1/00/1900  00:00</v>
      </c>
      <c r="M9" t="b" cm="1">
        <f t="array" ref="M9">SUMPRODUCT((Table8[[#This Row],[Formula3]]&lt;$L$7:$L$70)*(Table8[[#This Row],[Formula4]]&gt;=$K$7:$K$70))&gt;1</f>
        <v>0</v>
      </c>
      <c r="N9" s="92">
        <f>Table8[[#This Row],[Time Out HH:MM AM/PM]]-Table8[[#This Row],[Time In HH:MM AM/PM]]</f>
        <v>0</v>
      </c>
      <c r="O9" s="93" t="str">
        <f>TEXT(Table8[[#This Row],[Formula 1]],"HH:MM")</f>
        <v>00:00</v>
      </c>
      <c r="P9" s="93" t="str">
        <f>LEFT(Table8[[#This Row],[Formula 2]],SEARCH(":",Table8[[#This Row],[Formula 2]])-1)</f>
        <v>00</v>
      </c>
      <c r="Q9" s="93" t="str">
        <f>RIGHT(Table8[[#This Row],[Formula 2]],SEARCH(":",Table8[[#This Row],[Formula 2]])-1)</f>
        <v>00</v>
      </c>
      <c r="R9" s="93">
        <f>Table8[[#This Row],[Hours]]*60+Table8[[#This Row],[Minutes]]</f>
        <v>0</v>
      </c>
      <c r="S9" s="94" t="str">
        <f>IF(ISBLANK(Table8[[#This Row],[Approved Service Provided]]),"",IF(OR(Table8[[#This Row],[Formula2]]="DAYS",Table8[[#This Row],[Formula2]]="TRIP"),1,ROUNDDOWN((Table8[[#This Row],[Total Minutes]]+7)/15,0)))</f>
        <v/>
      </c>
      <c r="T9" s="95" t="str">
        <f>IFERROR(VLOOKUP(Table8[[#This Row],[Combined]],'Optimax Rates'!D:G,4,FALSE),"")</f>
        <v/>
      </c>
      <c r="U9" s="95" t="str">
        <f>IF(Table8[[#This Row],[Rate]]="","",Table8[[#This Row],[Units]]*Table8[[#This Row],[Rate]])</f>
        <v/>
      </c>
      <c r="V9" s="154"/>
      <c r="W9" s="154"/>
      <c r="X9" s="154"/>
    </row>
    <row r="10" spans="1:31" s="4" customFormat="1" ht="13.5" thickBot="1">
      <c r="A10" s="19"/>
      <c r="B10" s="16"/>
      <c r="C10" s="70"/>
      <c r="D10" s="1"/>
      <c r="E10" s="2"/>
      <c r="F10" s="2"/>
      <c r="G10" s="96">
        <f t="shared" si="0"/>
        <v>0</v>
      </c>
      <c r="H10" t="str">
        <f>Table8[[#This Row],[Program Code]]&amp;Table8[[#This Row],[Approved Service Provided]]&amp;Table8[[#This Row],[County of Service]]</f>
        <v/>
      </c>
      <c r="I10" t="str">
        <f>IF(Table8[[#This Row],[Waiver]]="State SLS", "8", IF(Table8[[#This Row],[Waiver]]="OBRA", "9", ""))</f>
        <v/>
      </c>
      <c r="J10" t="str">
        <f>IFERROR(VLOOKUP(Table8[[#This Row],[Combined]],'Optimax Rates'!D:E,2,FALSE),"")</f>
        <v/>
      </c>
      <c r="K10" t="str">
        <f>TEXT(Table8[[#This Row],[Date of Service]],"m/dd/yyyy ")&amp;" "&amp;TEXT(Table8[[#This Row],[Time In HH:MM AM/PM]],"hh:mm")</f>
        <v>1/00/1900  00:00</v>
      </c>
      <c r="L10" t="str">
        <f>TEXT(Table8[[#This Row],[Date of Service]],"m/dd/yyyy ")&amp;" "&amp;TEXT(Table8[[#This Row],[Time Out HH:MM AM/PM]],"hh:mm")</f>
        <v>1/00/1900  00:00</v>
      </c>
      <c r="M10" t="b" cm="1">
        <f t="array" ref="M10">SUMPRODUCT((Table8[[#This Row],[Formula3]]&lt;$L$7:$L$70)*(Table8[[#This Row],[Formula4]]&gt;=$K$7:$K$70))&gt;1</f>
        <v>0</v>
      </c>
      <c r="N10" s="92">
        <f>Table8[[#This Row],[Time Out HH:MM AM/PM]]-Table8[[#This Row],[Time In HH:MM AM/PM]]</f>
        <v>0</v>
      </c>
      <c r="O10" s="93" t="str">
        <f>TEXT(Table8[[#This Row],[Formula 1]],"HH:MM")</f>
        <v>00:00</v>
      </c>
      <c r="P10" s="93" t="str">
        <f>LEFT(Table8[[#This Row],[Formula 2]],SEARCH(":",Table8[[#This Row],[Formula 2]])-1)</f>
        <v>00</v>
      </c>
      <c r="Q10" s="93" t="str">
        <f>RIGHT(Table8[[#This Row],[Formula 2]],SEARCH(":",Table8[[#This Row],[Formula 2]])-1)</f>
        <v>00</v>
      </c>
      <c r="R10" s="93">
        <f>Table8[[#This Row],[Hours]]*60+Table8[[#This Row],[Minutes]]</f>
        <v>0</v>
      </c>
      <c r="S10" s="94" t="str">
        <f>IF(ISBLANK(Table8[[#This Row],[Approved Service Provided]]),"",IF(OR(Table8[[#This Row],[Formula2]]="DAYS",Table8[[#This Row],[Formula2]]="TRIP"),1,ROUNDDOWN((Table8[[#This Row],[Total Minutes]]+7)/15,0)))</f>
        <v/>
      </c>
      <c r="T10" s="95" t="str">
        <f>IFERROR(VLOOKUP(Table8[[#This Row],[Combined]],'Optimax Rates'!D:G,4,FALSE),"")</f>
        <v/>
      </c>
      <c r="U10" s="95" t="str">
        <f>IF(Table8[[#This Row],[Rate]]="","",Table8[[#This Row],[Units]]*Table8[[#This Row],[Rate]])</f>
        <v/>
      </c>
      <c r="V10" s="154"/>
      <c r="W10" s="154"/>
      <c r="X10" s="154"/>
    </row>
    <row r="11" spans="1:31" s="4" customFormat="1" ht="13.5" thickBot="1">
      <c r="A11" s="19"/>
      <c r="B11" s="16"/>
      <c r="C11" s="70"/>
      <c r="D11" s="1"/>
      <c r="E11" s="2"/>
      <c r="F11" s="2"/>
      <c r="G11" s="96">
        <f t="shared" si="0"/>
        <v>0</v>
      </c>
      <c r="H11" t="str">
        <f>Table8[[#This Row],[Program Code]]&amp;Table8[[#This Row],[Approved Service Provided]]&amp;Table8[[#This Row],[County of Service]]</f>
        <v/>
      </c>
      <c r="I11" t="str">
        <f>IF(Table8[[#This Row],[Waiver]]="State SLS", "8", IF(Table8[[#This Row],[Waiver]]="OBRA", "9", ""))</f>
        <v/>
      </c>
      <c r="J11" t="str">
        <f>IFERROR(VLOOKUP(Table8[[#This Row],[Combined]],'Optimax Rates'!D:E,2,FALSE),"")</f>
        <v/>
      </c>
      <c r="K11" t="str">
        <f>TEXT(Table8[[#This Row],[Date of Service]],"m/dd/yyyy ")&amp;" "&amp;TEXT(Table8[[#This Row],[Time In HH:MM AM/PM]],"hh:mm")</f>
        <v>1/00/1900  00:00</v>
      </c>
      <c r="L11" t="str">
        <f>TEXT(Table8[[#This Row],[Date of Service]],"m/dd/yyyy ")&amp;" "&amp;TEXT(Table8[[#This Row],[Time Out HH:MM AM/PM]],"hh:mm")</f>
        <v>1/00/1900  00:00</v>
      </c>
      <c r="M11" t="b" cm="1">
        <f t="array" ref="M11">SUMPRODUCT((Table8[[#This Row],[Formula3]]&lt;$L$7:$L$70)*(Table8[[#This Row],[Formula4]]&gt;=$K$7:$K$70))&gt;1</f>
        <v>0</v>
      </c>
      <c r="N11" s="92">
        <f>Table8[[#This Row],[Time Out HH:MM AM/PM]]-Table8[[#This Row],[Time In HH:MM AM/PM]]</f>
        <v>0</v>
      </c>
      <c r="O11" s="93" t="str">
        <f>TEXT(Table8[[#This Row],[Formula 1]],"HH:MM")</f>
        <v>00:00</v>
      </c>
      <c r="P11" s="93" t="str">
        <f>LEFT(Table8[[#This Row],[Formula 2]],SEARCH(":",Table8[[#This Row],[Formula 2]])-1)</f>
        <v>00</v>
      </c>
      <c r="Q11" s="93" t="str">
        <f>RIGHT(Table8[[#This Row],[Formula 2]],SEARCH(":",Table8[[#This Row],[Formula 2]])-1)</f>
        <v>00</v>
      </c>
      <c r="R11" s="93">
        <f>Table8[[#This Row],[Hours]]*60+Table8[[#This Row],[Minutes]]</f>
        <v>0</v>
      </c>
      <c r="S11" s="94" t="str">
        <f>IF(ISBLANK(Table8[[#This Row],[Approved Service Provided]]),"",IF(OR(Table8[[#This Row],[Formula2]]="DAYS",Table8[[#This Row],[Formula2]]="TRIP"),1,ROUNDDOWN((Table8[[#This Row],[Total Minutes]]+7)/15,0)))</f>
        <v/>
      </c>
      <c r="T11" s="95" t="str">
        <f>IFERROR(VLOOKUP(Table8[[#This Row],[Combined]],'Optimax Rates'!D:G,4,FALSE),"")</f>
        <v/>
      </c>
      <c r="U11" s="95" t="str">
        <f>IF(Table8[[#This Row],[Rate]]="","",Table8[[#This Row],[Units]]*Table8[[#This Row],[Rate]])</f>
        <v/>
      </c>
      <c r="V11" s="154"/>
      <c r="W11" s="154"/>
      <c r="X11" s="154"/>
    </row>
    <row r="12" spans="1:31" s="4" customFormat="1" ht="13.5" thickBot="1">
      <c r="A12" s="19"/>
      <c r="B12" s="16"/>
      <c r="C12" s="70"/>
      <c r="D12" s="1"/>
      <c r="E12" s="2"/>
      <c r="F12" s="2"/>
      <c r="G12" s="96">
        <f t="shared" si="0"/>
        <v>0</v>
      </c>
      <c r="H12" t="str">
        <f>Table8[[#This Row],[Program Code]]&amp;Table8[[#This Row],[Approved Service Provided]]&amp;Table8[[#This Row],[County of Service]]</f>
        <v/>
      </c>
      <c r="I12" t="str">
        <f>IF(Table8[[#This Row],[Waiver]]="State SLS", "8", IF(Table8[[#This Row],[Waiver]]="OBRA", "9", ""))</f>
        <v/>
      </c>
      <c r="J12" t="str">
        <f>IFERROR(VLOOKUP(Table8[[#This Row],[Combined]],'Optimax Rates'!D:E,2,FALSE),"")</f>
        <v/>
      </c>
      <c r="K12" t="str">
        <f>TEXT(Table8[[#This Row],[Date of Service]],"m/dd/yyyy ")&amp;" "&amp;TEXT(Table8[[#This Row],[Time In HH:MM AM/PM]],"hh:mm")</f>
        <v>1/00/1900  00:00</v>
      </c>
      <c r="L12" t="str">
        <f>TEXT(Table8[[#This Row],[Date of Service]],"m/dd/yyyy ")&amp;" "&amp;TEXT(Table8[[#This Row],[Time Out HH:MM AM/PM]],"hh:mm")</f>
        <v>1/00/1900  00:00</v>
      </c>
      <c r="M12" t="b" cm="1">
        <f t="array" ref="M12">SUMPRODUCT((Table8[[#This Row],[Formula3]]&lt;$L$7:$L$70)*(Table8[[#This Row],[Formula4]]&gt;=$K$7:$K$70))&gt;1</f>
        <v>0</v>
      </c>
      <c r="N12" s="92">
        <f>Table8[[#This Row],[Time Out HH:MM AM/PM]]-Table8[[#This Row],[Time In HH:MM AM/PM]]</f>
        <v>0</v>
      </c>
      <c r="O12" s="93" t="str">
        <f>TEXT(Table8[[#This Row],[Formula 1]],"HH:MM")</f>
        <v>00:00</v>
      </c>
      <c r="P12" s="93" t="str">
        <f>LEFT(Table8[[#This Row],[Formula 2]],SEARCH(":",Table8[[#This Row],[Formula 2]])-1)</f>
        <v>00</v>
      </c>
      <c r="Q12" s="93" t="str">
        <f>RIGHT(Table8[[#This Row],[Formula 2]],SEARCH(":",Table8[[#This Row],[Formula 2]])-1)</f>
        <v>00</v>
      </c>
      <c r="R12" s="93">
        <f>Table8[[#This Row],[Hours]]*60+Table8[[#This Row],[Minutes]]</f>
        <v>0</v>
      </c>
      <c r="S12" s="94" t="str">
        <f>IF(ISBLANK(Table8[[#This Row],[Approved Service Provided]]),"",IF(OR(Table8[[#This Row],[Formula2]]="DAYS",Table8[[#This Row],[Formula2]]="TRIP"),1,ROUNDDOWN((Table8[[#This Row],[Total Minutes]]+7)/15,0)))</f>
        <v/>
      </c>
      <c r="T12" s="95" t="str">
        <f>IFERROR(VLOOKUP(Table8[[#This Row],[Combined]],'Optimax Rates'!D:G,4,FALSE),"")</f>
        <v/>
      </c>
      <c r="U12" s="95" t="str">
        <f>IF(Table8[[#This Row],[Rate]]="","",Table8[[#This Row],[Units]]*Table8[[#This Row],[Rate]])</f>
        <v/>
      </c>
      <c r="V12" s="154"/>
      <c r="W12" s="154"/>
      <c r="X12" s="154"/>
    </row>
    <row r="13" spans="1:31" s="4" customFormat="1" ht="13.5" thickBot="1">
      <c r="A13" s="19"/>
      <c r="B13" s="16"/>
      <c r="C13" s="70"/>
      <c r="D13" s="1"/>
      <c r="E13" s="2"/>
      <c r="F13" s="2"/>
      <c r="G13" s="96">
        <f t="shared" si="0"/>
        <v>0</v>
      </c>
      <c r="H13" t="str">
        <f>Table8[[#This Row],[Program Code]]&amp;Table8[[#This Row],[Approved Service Provided]]&amp;Table8[[#This Row],[County of Service]]</f>
        <v/>
      </c>
      <c r="I13" t="str">
        <f>IF(Table8[[#This Row],[Waiver]]="State SLS", "8", IF(Table8[[#This Row],[Waiver]]="OBRA", "9", ""))</f>
        <v/>
      </c>
      <c r="J13" t="str">
        <f>IFERROR(VLOOKUP(Table8[[#This Row],[Combined]],'Optimax Rates'!D:E,2,FALSE),"")</f>
        <v/>
      </c>
      <c r="K13" t="str">
        <f>TEXT(Table8[[#This Row],[Date of Service]],"m/dd/yyyy ")&amp;" "&amp;TEXT(Table8[[#This Row],[Time In HH:MM AM/PM]],"hh:mm")</f>
        <v>1/00/1900  00:00</v>
      </c>
      <c r="L13" t="str">
        <f>TEXT(Table8[[#This Row],[Date of Service]],"m/dd/yyyy ")&amp;" "&amp;TEXT(Table8[[#This Row],[Time Out HH:MM AM/PM]],"hh:mm")</f>
        <v>1/00/1900  00:00</v>
      </c>
      <c r="M13" t="b" cm="1">
        <f t="array" ref="M13">SUMPRODUCT((Table8[[#This Row],[Formula3]]&lt;$L$7:$L$70)*(Table8[[#This Row],[Formula4]]&gt;=$K$7:$K$70))&gt;1</f>
        <v>0</v>
      </c>
      <c r="N13" s="92">
        <f>Table8[[#This Row],[Time Out HH:MM AM/PM]]-Table8[[#This Row],[Time In HH:MM AM/PM]]</f>
        <v>0</v>
      </c>
      <c r="O13" s="93" t="str">
        <f>TEXT(Table8[[#This Row],[Formula 1]],"HH:MM")</f>
        <v>00:00</v>
      </c>
      <c r="P13" s="93" t="str">
        <f>LEFT(Table8[[#This Row],[Formula 2]],SEARCH(":",Table8[[#This Row],[Formula 2]])-1)</f>
        <v>00</v>
      </c>
      <c r="Q13" s="93" t="str">
        <f>RIGHT(Table8[[#This Row],[Formula 2]],SEARCH(":",Table8[[#This Row],[Formula 2]])-1)</f>
        <v>00</v>
      </c>
      <c r="R13" s="93">
        <f>Table8[[#This Row],[Hours]]*60+Table8[[#This Row],[Minutes]]</f>
        <v>0</v>
      </c>
      <c r="S13" s="94" t="str">
        <f>IF(ISBLANK(Table8[[#This Row],[Approved Service Provided]]),"",IF(OR(Table8[[#This Row],[Formula2]]="DAYS",Table8[[#This Row],[Formula2]]="TRIP"),1,ROUNDDOWN((Table8[[#This Row],[Total Minutes]]+7)/15,0)))</f>
        <v/>
      </c>
      <c r="T13" s="95" t="str">
        <f>IFERROR(VLOOKUP(Table8[[#This Row],[Combined]],'Optimax Rates'!D:G,4,FALSE),"")</f>
        <v/>
      </c>
      <c r="U13" s="95" t="str">
        <f>IF(Table8[[#This Row],[Rate]]="","",Table8[[#This Row],[Units]]*Table8[[#This Row],[Rate]])</f>
        <v/>
      </c>
      <c r="V13" s="154"/>
      <c r="W13" s="154"/>
      <c r="X13" s="154"/>
    </row>
    <row r="14" spans="1:31" s="4" customFormat="1" ht="13.5" thickBot="1">
      <c r="A14" s="19"/>
      <c r="B14" s="16"/>
      <c r="C14" s="70"/>
      <c r="D14" s="1"/>
      <c r="E14" s="2"/>
      <c r="F14" s="2"/>
      <c r="G14" s="96">
        <f t="shared" si="0"/>
        <v>0</v>
      </c>
      <c r="H14" t="str">
        <f>Table8[[#This Row],[Program Code]]&amp;Table8[[#This Row],[Approved Service Provided]]&amp;Table8[[#This Row],[County of Service]]</f>
        <v/>
      </c>
      <c r="I14" t="str">
        <f>IF(Table8[[#This Row],[Waiver]]="State SLS", "8", IF(Table8[[#This Row],[Waiver]]="OBRA", "9", ""))</f>
        <v/>
      </c>
      <c r="J14" t="str">
        <f>IFERROR(VLOOKUP(Table8[[#This Row],[Combined]],'Optimax Rates'!D:E,2,FALSE),"")</f>
        <v/>
      </c>
      <c r="K14" t="str">
        <f>TEXT(Table8[[#This Row],[Date of Service]],"m/dd/yyyy ")&amp;" "&amp;TEXT(Table8[[#This Row],[Time In HH:MM AM/PM]],"hh:mm")</f>
        <v>1/00/1900  00:00</v>
      </c>
      <c r="L14" t="str">
        <f>TEXT(Table8[[#This Row],[Date of Service]],"m/dd/yyyy ")&amp;" "&amp;TEXT(Table8[[#This Row],[Time Out HH:MM AM/PM]],"hh:mm")</f>
        <v>1/00/1900  00:00</v>
      </c>
      <c r="M14" t="b" cm="1">
        <f t="array" ref="M14">SUMPRODUCT((Table8[[#This Row],[Formula3]]&lt;$L$7:$L$70)*(Table8[[#This Row],[Formula4]]&gt;=$K$7:$K$70))&gt;1</f>
        <v>0</v>
      </c>
      <c r="N14" s="92">
        <f>Table8[[#This Row],[Time Out HH:MM AM/PM]]-Table8[[#This Row],[Time In HH:MM AM/PM]]</f>
        <v>0</v>
      </c>
      <c r="O14" s="93" t="str">
        <f>TEXT(Table8[[#This Row],[Formula 1]],"HH:MM")</f>
        <v>00:00</v>
      </c>
      <c r="P14" s="93" t="str">
        <f>LEFT(Table8[[#This Row],[Formula 2]],SEARCH(":",Table8[[#This Row],[Formula 2]])-1)</f>
        <v>00</v>
      </c>
      <c r="Q14" s="93" t="str">
        <f>RIGHT(Table8[[#This Row],[Formula 2]],SEARCH(":",Table8[[#This Row],[Formula 2]])-1)</f>
        <v>00</v>
      </c>
      <c r="R14" s="93">
        <f>Table8[[#This Row],[Hours]]*60+Table8[[#This Row],[Minutes]]</f>
        <v>0</v>
      </c>
      <c r="S14" s="94" t="str">
        <f>IF(ISBLANK(Table8[[#This Row],[Approved Service Provided]]),"",IF(OR(Table8[[#This Row],[Formula2]]="DAYS",Table8[[#This Row],[Formula2]]="TRIP"),1,ROUNDDOWN((Table8[[#This Row],[Total Minutes]]+7)/15,0)))</f>
        <v/>
      </c>
      <c r="T14" s="95" t="str">
        <f>IFERROR(VLOOKUP(Table8[[#This Row],[Combined]],'Optimax Rates'!D:G,4,FALSE),"")</f>
        <v/>
      </c>
      <c r="U14" s="95" t="str">
        <f>IF(Table8[[#This Row],[Rate]]="","",Table8[[#This Row],[Units]]*Table8[[#This Row],[Rate]])</f>
        <v/>
      </c>
      <c r="V14" s="154"/>
      <c r="W14" s="154"/>
      <c r="X14" s="154"/>
    </row>
    <row r="15" spans="1:31" s="4" customFormat="1" ht="13.5" thickBot="1">
      <c r="A15" s="19"/>
      <c r="B15" s="17"/>
      <c r="C15" s="161"/>
      <c r="D15" s="1"/>
      <c r="E15" s="2"/>
      <c r="F15" s="2"/>
      <c r="G15" s="96">
        <f t="shared" si="0"/>
        <v>0</v>
      </c>
      <c r="H15" t="str">
        <f>Table8[[#This Row],[Program Code]]&amp;Table8[[#This Row],[Approved Service Provided]]&amp;Table8[[#This Row],[County of Service]]</f>
        <v/>
      </c>
      <c r="I15" t="str">
        <f>IF(Table8[[#This Row],[Waiver]]="State SLS", "8", IF(Table8[[#This Row],[Waiver]]="OBRA", "9", ""))</f>
        <v/>
      </c>
      <c r="J15" t="str">
        <f>IFERROR(VLOOKUP(Table8[[#This Row],[Combined]],'Optimax Rates'!D:E,2,FALSE),"")</f>
        <v/>
      </c>
      <c r="K15" t="str">
        <f>TEXT(Table8[[#This Row],[Date of Service]],"m/dd/yyyy ")&amp;" "&amp;TEXT(Table8[[#This Row],[Time In HH:MM AM/PM]],"hh:mm")</f>
        <v>1/00/1900  00:00</v>
      </c>
      <c r="L15" t="str">
        <f>TEXT(Table8[[#This Row],[Date of Service]],"m/dd/yyyy ")&amp;" "&amp;TEXT(Table8[[#This Row],[Time Out HH:MM AM/PM]],"hh:mm")</f>
        <v>1/00/1900  00:00</v>
      </c>
      <c r="M15" t="b" cm="1">
        <f t="array" ref="M15">SUMPRODUCT((Table8[[#This Row],[Formula3]]&lt;$L$7:$L$70)*(Table8[[#This Row],[Formula4]]&gt;=$K$7:$K$70))&gt;1</f>
        <v>0</v>
      </c>
      <c r="N15" s="92">
        <f>Table8[[#This Row],[Time Out HH:MM AM/PM]]-Table8[[#This Row],[Time In HH:MM AM/PM]]</f>
        <v>0</v>
      </c>
      <c r="O15" s="93" t="str">
        <f>TEXT(Table8[[#This Row],[Formula 1]],"HH:MM")</f>
        <v>00:00</v>
      </c>
      <c r="P15" s="93" t="str">
        <f>LEFT(Table8[[#This Row],[Formula 2]],SEARCH(":",Table8[[#This Row],[Formula 2]])-1)</f>
        <v>00</v>
      </c>
      <c r="Q15" s="93" t="str">
        <f>RIGHT(Table8[[#This Row],[Formula 2]],SEARCH(":",Table8[[#This Row],[Formula 2]])-1)</f>
        <v>00</v>
      </c>
      <c r="R15" s="93">
        <f>Table8[[#This Row],[Hours]]*60+Table8[[#This Row],[Minutes]]</f>
        <v>0</v>
      </c>
      <c r="S15" s="94" t="str">
        <f>IF(ISBLANK(Table8[[#This Row],[Approved Service Provided]]),"",IF(OR(Table8[[#This Row],[Formula2]]="DAYS",Table8[[#This Row],[Formula2]]="TRIP"),1,ROUNDDOWN((Table8[[#This Row],[Total Minutes]]+7)/15,0)))</f>
        <v/>
      </c>
      <c r="T15" s="95" t="str">
        <f>IFERROR(VLOOKUP(Table8[[#This Row],[Combined]],'Optimax Rates'!D:G,4,FALSE),"")</f>
        <v/>
      </c>
      <c r="U15" s="95" t="str">
        <f>IF(Table8[[#This Row],[Rate]]="","",Table8[[#This Row],[Units]]*Table8[[#This Row],[Rate]])</f>
        <v/>
      </c>
      <c r="V15" s="154"/>
      <c r="W15" s="154"/>
      <c r="X15" s="154"/>
      <c r="AE15" s="3"/>
    </row>
    <row r="16" spans="1:31" s="4" customFormat="1" ht="13.5" thickBot="1">
      <c r="A16" s="19"/>
      <c r="B16" s="16"/>
      <c r="C16" s="70"/>
      <c r="D16" s="1"/>
      <c r="E16" s="2"/>
      <c r="F16" s="2"/>
      <c r="G16" s="96">
        <f t="shared" si="0"/>
        <v>0</v>
      </c>
      <c r="H16" t="str">
        <f>Table8[[#This Row],[Program Code]]&amp;Table8[[#This Row],[Approved Service Provided]]&amp;Table8[[#This Row],[County of Service]]</f>
        <v/>
      </c>
      <c r="I16" t="str">
        <f>IF(Table8[[#This Row],[Waiver]]="State SLS", "8", IF(Table8[[#This Row],[Waiver]]="OBRA", "9", ""))</f>
        <v/>
      </c>
      <c r="J16" t="str">
        <f>IFERROR(VLOOKUP(Table8[[#This Row],[Combined]],'Optimax Rates'!D:E,2,FALSE),"")</f>
        <v/>
      </c>
      <c r="K16" t="str">
        <f>TEXT(Table8[[#This Row],[Date of Service]],"m/dd/yyyy ")&amp;" "&amp;TEXT(Table8[[#This Row],[Time In HH:MM AM/PM]],"hh:mm")</f>
        <v>1/00/1900  00:00</v>
      </c>
      <c r="L16" t="str">
        <f>TEXT(Table8[[#This Row],[Date of Service]],"m/dd/yyyy ")&amp;" "&amp;TEXT(Table8[[#This Row],[Time Out HH:MM AM/PM]],"hh:mm")</f>
        <v>1/00/1900  00:00</v>
      </c>
      <c r="M16" t="b" cm="1">
        <f t="array" ref="M16">SUMPRODUCT((Table8[[#This Row],[Formula3]]&lt;$L$7:$L$70)*(Table8[[#This Row],[Formula4]]&gt;=$K$7:$K$70))&gt;1</f>
        <v>0</v>
      </c>
      <c r="N16" s="92">
        <f>Table8[[#This Row],[Time Out HH:MM AM/PM]]-Table8[[#This Row],[Time In HH:MM AM/PM]]</f>
        <v>0</v>
      </c>
      <c r="O16" s="93" t="str">
        <f>TEXT(Table8[[#This Row],[Formula 1]],"HH:MM")</f>
        <v>00:00</v>
      </c>
      <c r="P16" s="93" t="str">
        <f>LEFT(Table8[[#This Row],[Formula 2]],SEARCH(":",Table8[[#This Row],[Formula 2]])-1)</f>
        <v>00</v>
      </c>
      <c r="Q16" s="93" t="str">
        <f>RIGHT(Table8[[#This Row],[Formula 2]],SEARCH(":",Table8[[#This Row],[Formula 2]])-1)</f>
        <v>00</v>
      </c>
      <c r="R16" s="93">
        <f>Table8[[#This Row],[Hours]]*60+Table8[[#This Row],[Minutes]]</f>
        <v>0</v>
      </c>
      <c r="S16" s="94" t="str">
        <f>IF(ISBLANK(Table8[[#This Row],[Approved Service Provided]]),"",IF(OR(Table8[[#This Row],[Formula2]]="DAYS",Table8[[#This Row],[Formula2]]="TRIP"),1,ROUNDDOWN((Table8[[#This Row],[Total Minutes]]+7)/15,0)))</f>
        <v/>
      </c>
      <c r="T16" s="95" t="str">
        <f>IFERROR(VLOOKUP(Table8[[#This Row],[Combined]],'Optimax Rates'!D:G,4,FALSE),"")</f>
        <v/>
      </c>
      <c r="U16" s="95" t="str">
        <f>IF(Table8[[#This Row],[Rate]]="","",Table8[[#This Row],[Units]]*Table8[[#This Row],[Rate]])</f>
        <v/>
      </c>
      <c r="V16" s="154"/>
      <c r="W16" s="154"/>
      <c r="X16" s="154"/>
    </row>
    <row r="17" spans="1:24" s="4" customFormat="1" ht="13.5" thickBot="1">
      <c r="A17" s="19"/>
      <c r="B17" s="16"/>
      <c r="C17" s="70"/>
      <c r="D17" s="1"/>
      <c r="E17" s="2"/>
      <c r="F17" s="2"/>
      <c r="G17" s="96">
        <f t="shared" si="0"/>
        <v>0</v>
      </c>
      <c r="H17" t="str">
        <f>Table8[[#This Row],[Program Code]]&amp;Table8[[#This Row],[Approved Service Provided]]&amp;Table8[[#This Row],[County of Service]]</f>
        <v/>
      </c>
      <c r="I17" t="str">
        <f>IF(Table8[[#This Row],[Waiver]]="State SLS", "8", IF(Table8[[#This Row],[Waiver]]="OBRA", "9", ""))</f>
        <v/>
      </c>
      <c r="J17" t="str">
        <f>IFERROR(VLOOKUP(Table8[[#This Row],[Combined]],'Optimax Rates'!D:E,2,FALSE),"")</f>
        <v/>
      </c>
      <c r="K17" t="str">
        <f>TEXT(Table8[[#This Row],[Date of Service]],"m/dd/yyyy ")&amp;" "&amp;TEXT(Table8[[#This Row],[Time In HH:MM AM/PM]],"hh:mm")</f>
        <v>1/00/1900  00:00</v>
      </c>
      <c r="L17" t="str">
        <f>TEXT(Table8[[#This Row],[Date of Service]],"m/dd/yyyy ")&amp;" "&amp;TEXT(Table8[[#This Row],[Time Out HH:MM AM/PM]],"hh:mm")</f>
        <v>1/00/1900  00:00</v>
      </c>
      <c r="M17" t="b" cm="1">
        <f t="array" ref="M17">SUMPRODUCT((Table8[[#This Row],[Formula3]]&lt;$L$7:$L$70)*(Table8[[#This Row],[Formula4]]&gt;=$K$7:$K$70))&gt;1</f>
        <v>0</v>
      </c>
      <c r="N17" s="92">
        <f>Table8[[#This Row],[Time Out HH:MM AM/PM]]-Table8[[#This Row],[Time In HH:MM AM/PM]]</f>
        <v>0</v>
      </c>
      <c r="O17" s="93" t="str">
        <f>TEXT(Table8[[#This Row],[Formula 1]],"HH:MM")</f>
        <v>00:00</v>
      </c>
      <c r="P17" s="93" t="str">
        <f>LEFT(Table8[[#This Row],[Formula 2]],SEARCH(":",Table8[[#This Row],[Formula 2]])-1)</f>
        <v>00</v>
      </c>
      <c r="Q17" s="93" t="str">
        <f>RIGHT(Table8[[#This Row],[Formula 2]],SEARCH(":",Table8[[#This Row],[Formula 2]])-1)</f>
        <v>00</v>
      </c>
      <c r="R17" s="93">
        <f>Table8[[#This Row],[Hours]]*60+Table8[[#This Row],[Minutes]]</f>
        <v>0</v>
      </c>
      <c r="S17" s="94" t="str">
        <f>IF(ISBLANK(Table8[[#This Row],[Approved Service Provided]]),"",IF(OR(Table8[[#This Row],[Formula2]]="DAYS",Table8[[#This Row],[Formula2]]="TRIP"),1,ROUNDDOWN((Table8[[#This Row],[Total Minutes]]+7)/15,0)))</f>
        <v/>
      </c>
      <c r="T17" s="95" t="str">
        <f>IFERROR(VLOOKUP(Table8[[#This Row],[Combined]],'Optimax Rates'!D:G,4,FALSE),"")</f>
        <v/>
      </c>
      <c r="U17" s="95" t="str">
        <f>IF(Table8[[#This Row],[Rate]]="","",Table8[[#This Row],[Units]]*Table8[[#This Row],[Rate]])</f>
        <v/>
      </c>
      <c r="V17" s="154"/>
      <c r="W17" s="154"/>
      <c r="X17" s="154"/>
    </row>
    <row r="18" spans="1:24" s="4" customFormat="1" ht="13.5" thickBot="1">
      <c r="A18" s="19"/>
      <c r="B18" s="16"/>
      <c r="C18" s="70"/>
      <c r="D18" s="1"/>
      <c r="E18" s="2"/>
      <c r="F18" s="2"/>
      <c r="G18" s="96">
        <f t="shared" si="0"/>
        <v>0</v>
      </c>
      <c r="H18" t="str">
        <f>Table8[[#This Row],[Program Code]]&amp;Table8[[#This Row],[Approved Service Provided]]&amp;Table8[[#This Row],[County of Service]]</f>
        <v/>
      </c>
      <c r="I18" t="str">
        <f>IF(Table8[[#This Row],[Waiver]]="State SLS", "8", IF(Table8[[#This Row],[Waiver]]="OBRA", "9", ""))</f>
        <v/>
      </c>
      <c r="J18" t="str">
        <f>IFERROR(VLOOKUP(Table8[[#This Row],[Combined]],'Optimax Rates'!D:E,2,FALSE),"")</f>
        <v/>
      </c>
      <c r="K18" t="str">
        <f>TEXT(Table8[[#This Row],[Date of Service]],"m/dd/yyyy ")&amp;" "&amp;TEXT(Table8[[#This Row],[Time In HH:MM AM/PM]],"hh:mm")</f>
        <v>1/00/1900  00:00</v>
      </c>
      <c r="L18" t="str">
        <f>TEXT(Table8[[#This Row],[Date of Service]],"m/dd/yyyy ")&amp;" "&amp;TEXT(Table8[[#This Row],[Time Out HH:MM AM/PM]],"hh:mm")</f>
        <v>1/00/1900  00:00</v>
      </c>
      <c r="M18" t="b" cm="1">
        <f t="array" ref="M18">SUMPRODUCT((Table8[[#This Row],[Formula3]]&lt;$L$7:$L$70)*(Table8[[#This Row],[Formula4]]&gt;=$K$7:$K$70))&gt;1</f>
        <v>0</v>
      </c>
      <c r="N18" s="92">
        <f>Table8[[#This Row],[Time Out HH:MM AM/PM]]-Table8[[#This Row],[Time In HH:MM AM/PM]]</f>
        <v>0</v>
      </c>
      <c r="O18" s="93" t="str">
        <f>TEXT(Table8[[#This Row],[Formula 1]],"HH:MM")</f>
        <v>00:00</v>
      </c>
      <c r="P18" s="93" t="str">
        <f>LEFT(Table8[[#This Row],[Formula 2]],SEARCH(":",Table8[[#This Row],[Formula 2]])-1)</f>
        <v>00</v>
      </c>
      <c r="Q18" s="93" t="str">
        <f>RIGHT(Table8[[#This Row],[Formula 2]],SEARCH(":",Table8[[#This Row],[Formula 2]])-1)</f>
        <v>00</v>
      </c>
      <c r="R18" s="93">
        <f>Table8[[#This Row],[Hours]]*60+Table8[[#This Row],[Minutes]]</f>
        <v>0</v>
      </c>
      <c r="S18" s="94" t="str">
        <f>IF(ISBLANK(Table8[[#This Row],[Approved Service Provided]]),"",IF(OR(Table8[[#This Row],[Formula2]]="DAYS",Table8[[#This Row],[Formula2]]="TRIP"),1,ROUNDDOWN((Table8[[#This Row],[Total Minutes]]+7)/15,0)))</f>
        <v/>
      </c>
      <c r="T18" s="95" t="str">
        <f>IFERROR(VLOOKUP(Table8[[#This Row],[Combined]],'Optimax Rates'!D:G,4,FALSE),"")</f>
        <v/>
      </c>
      <c r="U18" s="95" t="str">
        <f>IF(Table8[[#This Row],[Rate]]="","",Table8[[#This Row],[Units]]*Table8[[#This Row],[Rate]])</f>
        <v/>
      </c>
      <c r="V18" s="154"/>
      <c r="W18" s="154"/>
      <c r="X18" s="154"/>
    </row>
    <row r="19" spans="1:24" s="4" customFormat="1" ht="13.5" thickBot="1">
      <c r="A19" s="69"/>
      <c r="B19" s="16"/>
      <c r="C19" s="70"/>
      <c r="D19" s="1"/>
      <c r="E19" s="2"/>
      <c r="F19" s="2"/>
      <c r="G19" s="96">
        <f t="shared" si="0"/>
        <v>0</v>
      </c>
      <c r="H19" t="str">
        <f>Table8[[#This Row],[Program Code]]&amp;Table8[[#This Row],[Approved Service Provided]]&amp;Table8[[#This Row],[County of Service]]</f>
        <v/>
      </c>
      <c r="I19" t="str">
        <f>IF(Table8[[#This Row],[Waiver]]="State SLS", "8", IF(Table8[[#This Row],[Waiver]]="OBRA", "9", ""))</f>
        <v/>
      </c>
      <c r="J19" t="str">
        <f>IFERROR(VLOOKUP(Table8[[#This Row],[Combined]],'Optimax Rates'!D:E,2,FALSE),"")</f>
        <v/>
      </c>
      <c r="K19" t="str">
        <f>TEXT(Table8[[#This Row],[Date of Service]],"m/dd/yyyy ")&amp;" "&amp;TEXT(Table8[[#This Row],[Time In HH:MM AM/PM]],"hh:mm")</f>
        <v>1/00/1900  00:00</v>
      </c>
      <c r="L19" t="str">
        <f>TEXT(Table8[[#This Row],[Date of Service]],"m/dd/yyyy ")&amp;" "&amp;TEXT(Table8[[#This Row],[Time Out HH:MM AM/PM]],"hh:mm")</f>
        <v>1/00/1900  00:00</v>
      </c>
      <c r="M19" t="b" cm="1">
        <f t="array" ref="M19">SUMPRODUCT((Table8[[#This Row],[Formula3]]&lt;$L$7:$L$70)*(Table8[[#This Row],[Formula4]]&gt;=$K$7:$K$70))&gt;1</f>
        <v>0</v>
      </c>
      <c r="N19" s="92">
        <f>Table8[[#This Row],[Time Out HH:MM AM/PM]]-Table8[[#This Row],[Time In HH:MM AM/PM]]</f>
        <v>0</v>
      </c>
      <c r="O19" s="93" t="str">
        <f>TEXT(Table8[[#This Row],[Formula 1]],"HH:MM")</f>
        <v>00:00</v>
      </c>
      <c r="P19" s="93" t="str">
        <f>LEFT(Table8[[#This Row],[Formula 2]],SEARCH(":",Table8[[#This Row],[Formula 2]])-1)</f>
        <v>00</v>
      </c>
      <c r="Q19" s="93" t="str">
        <f>RIGHT(Table8[[#This Row],[Formula 2]],SEARCH(":",Table8[[#This Row],[Formula 2]])-1)</f>
        <v>00</v>
      </c>
      <c r="R19" s="93">
        <f>Table8[[#This Row],[Hours]]*60+Table8[[#This Row],[Minutes]]</f>
        <v>0</v>
      </c>
      <c r="S19" s="94" t="str">
        <f>IF(ISBLANK(Table8[[#This Row],[Approved Service Provided]]),"",IF(OR(Table8[[#This Row],[Formula2]]="DAYS",Table8[[#This Row],[Formula2]]="TRIP"),1,ROUNDDOWN((Table8[[#This Row],[Total Minutes]]+7)/15,0)))</f>
        <v/>
      </c>
      <c r="T19" s="95" t="str">
        <f>IFERROR(VLOOKUP(Table8[[#This Row],[Combined]],'Optimax Rates'!D:G,4,FALSE),"")</f>
        <v/>
      </c>
      <c r="U19" s="95" t="str">
        <f>IF(Table8[[#This Row],[Rate]]="","",Table8[[#This Row],[Units]]*Table8[[#This Row],[Rate]])</f>
        <v/>
      </c>
      <c r="V19" s="154"/>
      <c r="W19" s="154"/>
      <c r="X19" s="154"/>
    </row>
    <row r="20" spans="1:24" s="4" customFormat="1" ht="13.5" thickBot="1">
      <c r="A20" s="19"/>
      <c r="B20" s="16"/>
      <c r="C20" s="70"/>
      <c r="D20" s="1"/>
      <c r="E20" s="2"/>
      <c r="F20" s="2"/>
      <c r="G20" s="96">
        <f t="shared" si="0"/>
        <v>0</v>
      </c>
      <c r="H20" t="str">
        <f>Table8[[#This Row],[Program Code]]&amp;Table8[[#This Row],[Approved Service Provided]]&amp;Table8[[#This Row],[County of Service]]</f>
        <v/>
      </c>
      <c r="I20" t="str">
        <f>IF(Table8[[#This Row],[Waiver]]="State SLS", "8", IF(Table8[[#This Row],[Waiver]]="OBRA", "9", ""))</f>
        <v/>
      </c>
      <c r="J20" t="str">
        <f>IFERROR(VLOOKUP(Table8[[#This Row],[Combined]],'Optimax Rates'!D:E,2,FALSE),"")</f>
        <v/>
      </c>
      <c r="K20" t="str">
        <f>TEXT(Table8[[#This Row],[Date of Service]],"m/dd/yyyy ")&amp;" "&amp;TEXT(Table8[[#This Row],[Time In HH:MM AM/PM]],"hh:mm")</f>
        <v>1/00/1900  00:00</v>
      </c>
      <c r="L20" t="str">
        <f>TEXT(Table8[[#This Row],[Date of Service]],"m/dd/yyyy ")&amp;" "&amp;TEXT(Table8[[#This Row],[Time Out HH:MM AM/PM]],"hh:mm")</f>
        <v>1/00/1900  00:00</v>
      </c>
      <c r="M20" t="b" cm="1">
        <f t="array" ref="M20">SUMPRODUCT((Table8[[#This Row],[Formula3]]&lt;$L$7:$L$70)*(Table8[[#This Row],[Formula4]]&gt;=$K$7:$K$70))&gt;1</f>
        <v>0</v>
      </c>
      <c r="N20" s="92">
        <f>Table8[[#This Row],[Time Out HH:MM AM/PM]]-Table8[[#This Row],[Time In HH:MM AM/PM]]</f>
        <v>0</v>
      </c>
      <c r="O20" s="93" t="str">
        <f>TEXT(Table8[[#This Row],[Formula 1]],"HH:MM")</f>
        <v>00:00</v>
      </c>
      <c r="P20" s="93" t="str">
        <f>LEFT(Table8[[#This Row],[Formula 2]],SEARCH(":",Table8[[#This Row],[Formula 2]])-1)</f>
        <v>00</v>
      </c>
      <c r="Q20" s="93" t="str">
        <f>RIGHT(Table8[[#This Row],[Formula 2]],SEARCH(":",Table8[[#This Row],[Formula 2]])-1)</f>
        <v>00</v>
      </c>
      <c r="R20" s="93">
        <f>Table8[[#This Row],[Hours]]*60+Table8[[#This Row],[Minutes]]</f>
        <v>0</v>
      </c>
      <c r="S20" s="94" t="str">
        <f>IF(ISBLANK(Table8[[#This Row],[Approved Service Provided]]),"",IF(OR(Table8[[#This Row],[Formula2]]="DAYS",Table8[[#This Row],[Formula2]]="TRIP"),1,ROUNDDOWN((Table8[[#This Row],[Total Minutes]]+7)/15,0)))</f>
        <v/>
      </c>
      <c r="T20" s="95" t="str">
        <f>IFERROR(VLOOKUP(Table8[[#This Row],[Combined]],'Optimax Rates'!D:G,4,FALSE),"")</f>
        <v/>
      </c>
      <c r="U20" s="95" t="str">
        <f>IF(Table8[[#This Row],[Rate]]="","",Table8[[#This Row],[Units]]*Table8[[#This Row],[Rate]])</f>
        <v/>
      </c>
      <c r="V20" s="154"/>
      <c r="W20" s="154"/>
      <c r="X20" s="154"/>
    </row>
    <row r="21" spans="1:24" s="4" customFormat="1" ht="13.5" thickBot="1">
      <c r="A21" s="19"/>
      <c r="B21" s="16"/>
      <c r="C21" s="70"/>
      <c r="D21" s="1"/>
      <c r="E21" s="2"/>
      <c r="F21" s="2"/>
      <c r="G21" s="96">
        <f t="shared" si="0"/>
        <v>0</v>
      </c>
      <c r="H21" t="str">
        <f>Table8[[#This Row],[Program Code]]&amp;Table8[[#This Row],[Approved Service Provided]]&amp;Table8[[#This Row],[County of Service]]</f>
        <v/>
      </c>
      <c r="I21" t="str">
        <f>IF(Table8[[#This Row],[Waiver]]="State SLS", "8", IF(Table8[[#This Row],[Waiver]]="OBRA", "9", ""))</f>
        <v/>
      </c>
      <c r="J21" t="str">
        <f>IFERROR(VLOOKUP(Table8[[#This Row],[Combined]],'Optimax Rates'!D:E,2,FALSE),"")</f>
        <v/>
      </c>
      <c r="K21" t="str">
        <f>TEXT(Table8[[#This Row],[Date of Service]],"m/dd/yyyy ")&amp;" "&amp;TEXT(Table8[[#This Row],[Time In HH:MM AM/PM]],"hh:mm")</f>
        <v>1/00/1900  00:00</v>
      </c>
      <c r="L21" t="str">
        <f>TEXT(Table8[[#This Row],[Date of Service]],"m/dd/yyyy ")&amp;" "&amp;TEXT(Table8[[#This Row],[Time Out HH:MM AM/PM]],"hh:mm")</f>
        <v>1/00/1900  00:00</v>
      </c>
      <c r="M21" t="b" cm="1">
        <f t="array" ref="M21">SUMPRODUCT((Table8[[#This Row],[Formula3]]&lt;$L$7:$L$70)*(Table8[[#This Row],[Formula4]]&gt;=$K$7:$K$70))&gt;1</f>
        <v>0</v>
      </c>
      <c r="N21" s="92">
        <f>Table8[[#This Row],[Time Out HH:MM AM/PM]]-Table8[[#This Row],[Time In HH:MM AM/PM]]</f>
        <v>0</v>
      </c>
      <c r="O21" s="93" t="str">
        <f>TEXT(Table8[[#This Row],[Formula 1]],"HH:MM")</f>
        <v>00:00</v>
      </c>
      <c r="P21" s="93" t="str">
        <f>LEFT(Table8[[#This Row],[Formula 2]],SEARCH(":",Table8[[#This Row],[Formula 2]])-1)</f>
        <v>00</v>
      </c>
      <c r="Q21" s="93" t="str">
        <f>RIGHT(Table8[[#This Row],[Formula 2]],SEARCH(":",Table8[[#This Row],[Formula 2]])-1)</f>
        <v>00</v>
      </c>
      <c r="R21" s="93">
        <f>Table8[[#This Row],[Hours]]*60+Table8[[#This Row],[Minutes]]</f>
        <v>0</v>
      </c>
      <c r="S21" s="94" t="str">
        <f>IF(ISBLANK(Table8[[#This Row],[Approved Service Provided]]),"",IF(OR(Table8[[#This Row],[Formula2]]="DAYS",Table8[[#This Row],[Formula2]]="TRIP"),1,ROUNDDOWN((Table8[[#This Row],[Total Minutes]]+7)/15,0)))</f>
        <v/>
      </c>
      <c r="T21" s="95" t="str">
        <f>IFERROR(VLOOKUP(Table8[[#This Row],[Combined]],'Optimax Rates'!D:G,4,FALSE),"")</f>
        <v/>
      </c>
      <c r="U21" s="95" t="str">
        <f>IF(Table8[[#This Row],[Rate]]="","",Table8[[#This Row],[Units]]*Table8[[#This Row],[Rate]])</f>
        <v/>
      </c>
      <c r="V21" s="154"/>
      <c r="W21" s="154"/>
      <c r="X21" s="154"/>
    </row>
    <row r="22" spans="1:24" s="4" customFormat="1" ht="13.5" thickBot="1">
      <c r="A22" s="69"/>
      <c r="B22" s="16"/>
      <c r="C22" s="70"/>
      <c r="D22" s="1"/>
      <c r="E22" s="2"/>
      <c r="F22" s="2"/>
      <c r="G22" s="159">
        <f>$D$3</f>
        <v>0</v>
      </c>
      <c r="H22" t="str">
        <f>Table8[[#This Row],[Program Code]]&amp;Table8[[#This Row],[Approved Service Provided]]&amp;Table8[[#This Row],[County of Service]]</f>
        <v/>
      </c>
      <c r="I22" t="str">
        <f>IF(Table8[[#This Row],[Waiver]]="State SLS", "8", IF(Table8[[#This Row],[Waiver]]="OBRA", "9", ""))</f>
        <v/>
      </c>
      <c r="J22" t="str">
        <f>IFERROR(VLOOKUP(Table8[[#This Row],[Combined]],'Optimax Rates'!D:E,2,FALSE),"")</f>
        <v/>
      </c>
      <c r="K22" t="str">
        <f>TEXT(Table8[[#This Row],[Date of Service]],"m/dd/yyyy ")&amp;" "&amp;TEXT(Table8[[#This Row],[Time In HH:MM AM/PM]],"hh:mm")</f>
        <v>1/00/1900  00:00</v>
      </c>
      <c r="L22" t="str">
        <f>TEXT(Table8[[#This Row],[Date of Service]],"m/dd/yyyy ")&amp;" "&amp;TEXT(Table8[[#This Row],[Time Out HH:MM AM/PM]],"hh:mm")</f>
        <v>1/00/1900  00:00</v>
      </c>
      <c r="M22" t="b" cm="1">
        <f t="array" ref="M22">SUMPRODUCT((Table8[[#This Row],[Formula3]]&lt;$L$7:$L$70)*(Table8[[#This Row],[Formula4]]&gt;=$K$7:$K$70))&gt;1</f>
        <v>0</v>
      </c>
      <c r="N22" s="92">
        <f>Table8[[#This Row],[Time Out HH:MM AM/PM]]-Table8[[#This Row],[Time In HH:MM AM/PM]]</f>
        <v>0</v>
      </c>
      <c r="O22" s="93" t="str">
        <f>TEXT(Table8[[#This Row],[Formula 1]],"HH:MM")</f>
        <v>00:00</v>
      </c>
      <c r="P22" s="93" t="str">
        <f>LEFT(Table8[[#This Row],[Formula 2]],SEARCH(":",Table8[[#This Row],[Formula 2]])-1)</f>
        <v>00</v>
      </c>
      <c r="Q22" s="93" t="str">
        <f>RIGHT(Table8[[#This Row],[Formula 2]],SEARCH(":",Table8[[#This Row],[Formula 2]])-1)</f>
        <v>00</v>
      </c>
      <c r="R22" s="93">
        <f>Table8[[#This Row],[Hours]]*60+Table8[[#This Row],[Minutes]]</f>
        <v>0</v>
      </c>
      <c r="S22" s="94" t="str">
        <f>IF(ISBLANK(Table8[[#This Row],[Approved Service Provided]]),"",IF(OR(Table8[[#This Row],[Formula2]]="DAYS",Table8[[#This Row],[Formula2]]="TRIP"),1,ROUNDDOWN((Table8[[#This Row],[Total Minutes]]+7)/15,0)))</f>
        <v/>
      </c>
      <c r="T22" s="95" t="str">
        <f>IFERROR(VLOOKUP(Table8[[#This Row],[Combined]],'Optimax Rates'!D:G,4,FALSE),"")</f>
        <v/>
      </c>
      <c r="U22" s="95" t="str">
        <f>IF(Table8[[#This Row],[Rate]]="","",Table8[[#This Row],[Units]]*Table8[[#This Row],[Rate]])</f>
        <v/>
      </c>
      <c r="V22" s="154"/>
      <c r="W22" s="154"/>
      <c r="X22" s="154"/>
    </row>
    <row r="23" spans="1:24" s="4" customFormat="1" ht="13.5" thickBot="1">
      <c r="A23" s="19"/>
      <c r="B23" s="16"/>
      <c r="C23" s="70"/>
      <c r="D23" s="1"/>
      <c r="E23" s="2"/>
      <c r="F23" s="2"/>
      <c r="G23" s="96">
        <f t="shared" si="0"/>
        <v>0</v>
      </c>
      <c r="H23" t="str">
        <f>Table8[[#This Row],[Program Code]]&amp;Table8[[#This Row],[Approved Service Provided]]&amp;Table8[[#This Row],[County of Service]]</f>
        <v/>
      </c>
      <c r="I23" t="str">
        <f>IF(Table8[[#This Row],[Waiver]]="State SLS", "8", IF(Table8[[#This Row],[Waiver]]="OBRA", "9", ""))</f>
        <v/>
      </c>
      <c r="J23" t="str">
        <f>IFERROR(VLOOKUP(Table8[[#This Row],[Combined]],'Optimax Rates'!D:E,2,FALSE),"")</f>
        <v/>
      </c>
      <c r="K23" t="str">
        <f>TEXT(Table8[[#This Row],[Date of Service]],"m/dd/yyyy ")&amp;" "&amp;TEXT(Table8[[#This Row],[Time In HH:MM AM/PM]],"hh:mm")</f>
        <v>1/00/1900  00:00</v>
      </c>
      <c r="L23" t="str">
        <f>TEXT(Table8[[#This Row],[Date of Service]],"m/dd/yyyy ")&amp;" "&amp;TEXT(Table8[[#This Row],[Time Out HH:MM AM/PM]],"hh:mm")</f>
        <v>1/00/1900  00:00</v>
      </c>
      <c r="M23" t="b" cm="1">
        <f t="array" ref="M23">SUMPRODUCT((Table8[[#This Row],[Formula3]]&lt;$L$7:$L$70)*(Table8[[#This Row],[Formula4]]&gt;=$K$7:$K$70))&gt;1</f>
        <v>0</v>
      </c>
      <c r="N23" s="92">
        <f>Table8[[#This Row],[Time Out HH:MM AM/PM]]-Table8[[#This Row],[Time In HH:MM AM/PM]]</f>
        <v>0</v>
      </c>
      <c r="O23" s="93" t="str">
        <f>TEXT(Table8[[#This Row],[Formula 1]],"HH:MM")</f>
        <v>00:00</v>
      </c>
      <c r="P23" s="93" t="str">
        <f>LEFT(Table8[[#This Row],[Formula 2]],SEARCH(":",Table8[[#This Row],[Formula 2]])-1)</f>
        <v>00</v>
      </c>
      <c r="Q23" s="93" t="str">
        <f>RIGHT(Table8[[#This Row],[Formula 2]],SEARCH(":",Table8[[#This Row],[Formula 2]])-1)</f>
        <v>00</v>
      </c>
      <c r="R23" s="93">
        <f>Table8[[#This Row],[Hours]]*60+Table8[[#This Row],[Minutes]]</f>
        <v>0</v>
      </c>
      <c r="S23" s="94" t="str">
        <f>IF(ISBLANK(Table8[[#This Row],[Approved Service Provided]]),"",IF(OR(Table8[[#This Row],[Formula2]]="DAYS",Table8[[#This Row],[Formula2]]="TRIP"),1,ROUNDDOWN((Table8[[#This Row],[Total Minutes]]+7)/15,0)))</f>
        <v/>
      </c>
      <c r="T23" s="95" t="str">
        <f>IFERROR(VLOOKUP(Table8[[#This Row],[Combined]],'Optimax Rates'!D:G,4,FALSE),"")</f>
        <v/>
      </c>
      <c r="U23" s="95" t="str">
        <f>IF(Table8[[#This Row],[Rate]]="","",Table8[[#This Row],[Units]]*Table8[[#This Row],[Rate]])</f>
        <v/>
      </c>
      <c r="V23" s="154"/>
      <c r="W23" s="154"/>
      <c r="X23" s="154"/>
    </row>
    <row r="24" spans="1:24" s="4" customFormat="1" ht="13.5" thickBot="1">
      <c r="A24" s="19"/>
      <c r="B24" s="16"/>
      <c r="C24" s="70"/>
      <c r="D24" s="1"/>
      <c r="E24" s="2"/>
      <c r="F24" s="2"/>
      <c r="G24" s="96">
        <f t="shared" si="0"/>
        <v>0</v>
      </c>
      <c r="H24" t="str">
        <f>Table8[[#This Row],[Program Code]]&amp;Table8[[#This Row],[Approved Service Provided]]&amp;Table8[[#This Row],[County of Service]]</f>
        <v/>
      </c>
      <c r="I24" t="str">
        <f>IF(Table8[[#This Row],[Waiver]]="State SLS", "8", IF(Table8[[#This Row],[Waiver]]="OBRA", "9", ""))</f>
        <v/>
      </c>
      <c r="J24" t="str">
        <f>IFERROR(VLOOKUP(Table8[[#This Row],[Combined]],'Optimax Rates'!D:E,2,FALSE),"")</f>
        <v/>
      </c>
      <c r="K24" t="str">
        <f>TEXT(Table8[[#This Row],[Date of Service]],"m/dd/yyyy ")&amp;" "&amp;TEXT(Table8[[#This Row],[Time In HH:MM AM/PM]],"hh:mm")</f>
        <v>1/00/1900  00:00</v>
      </c>
      <c r="L24" t="str">
        <f>TEXT(Table8[[#This Row],[Date of Service]],"m/dd/yyyy ")&amp;" "&amp;TEXT(Table8[[#This Row],[Time Out HH:MM AM/PM]],"hh:mm")</f>
        <v>1/00/1900  00:00</v>
      </c>
      <c r="M24" t="b" cm="1">
        <f t="array" ref="M24">SUMPRODUCT((Table8[[#This Row],[Formula3]]&lt;$L$7:$L$70)*(Table8[[#This Row],[Formula4]]&gt;=$K$7:$K$70))&gt;1</f>
        <v>0</v>
      </c>
      <c r="N24" s="92">
        <f>Table8[[#This Row],[Time Out HH:MM AM/PM]]-Table8[[#This Row],[Time In HH:MM AM/PM]]</f>
        <v>0</v>
      </c>
      <c r="O24" s="93" t="str">
        <f>TEXT(Table8[[#This Row],[Formula 1]],"HH:MM")</f>
        <v>00:00</v>
      </c>
      <c r="P24" s="93" t="str">
        <f>LEFT(Table8[[#This Row],[Formula 2]],SEARCH(":",Table8[[#This Row],[Formula 2]])-1)</f>
        <v>00</v>
      </c>
      <c r="Q24" s="93" t="str">
        <f>RIGHT(Table8[[#This Row],[Formula 2]],SEARCH(":",Table8[[#This Row],[Formula 2]])-1)</f>
        <v>00</v>
      </c>
      <c r="R24" s="93">
        <f>Table8[[#This Row],[Hours]]*60+Table8[[#This Row],[Minutes]]</f>
        <v>0</v>
      </c>
      <c r="S24" s="94" t="str">
        <f>IF(ISBLANK(Table8[[#This Row],[Approved Service Provided]]),"",IF(OR(Table8[[#This Row],[Formula2]]="DAYS",Table8[[#This Row],[Formula2]]="TRIP"),1,ROUNDDOWN((Table8[[#This Row],[Total Minutes]]+7)/15,0)))</f>
        <v/>
      </c>
      <c r="T24" s="95" t="str">
        <f>IFERROR(VLOOKUP(Table8[[#This Row],[Combined]],'Optimax Rates'!D:G,4,FALSE),"")</f>
        <v/>
      </c>
      <c r="U24" s="95" t="str">
        <f>IF(Table8[[#This Row],[Rate]]="","",Table8[[#This Row],[Units]]*Table8[[#This Row],[Rate]])</f>
        <v/>
      </c>
      <c r="V24" s="154"/>
      <c r="W24" s="154"/>
      <c r="X24" s="154"/>
    </row>
    <row r="25" spans="1:24" s="4" customFormat="1" ht="13.5" thickBot="1">
      <c r="A25" s="19"/>
      <c r="B25" s="16"/>
      <c r="C25" s="70"/>
      <c r="D25" s="1"/>
      <c r="E25" s="2"/>
      <c r="F25" s="2"/>
      <c r="G25" s="96">
        <f t="shared" si="0"/>
        <v>0</v>
      </c>
      <c r="H25" t="str">
        <f>Table8[[#This Row],[Program Code]]&amp;Table8[[#This Row],[Approved Service Provided]]&amp;Table8[[#This Row],[County of Service]]</f>
        <v/>
      </c>
      <c r="I25" t="str">
        <f>IF(Table8[[#This Row],[Waiver]]="State SLS", "8", IF(Table8[[#This Row],[Waiver]]="OBRA", "9", ""))</f>
        <v/>
      </c>
      <c r="J25" t="str">
        <f>IFERROR(VLOOKUP(Table8[[#This Row],[Combined]],'Optimax Rates'!D:E,2,FALSE),"")</f>
        <v/>
      </c>
      <c r="K25" t="str">
        <f>TEXT(Table8[[#This Row],[Date of Service]],"m/dd/yyyy ")&amp;" "&amp;TEXT(Table8[[#This Row],[Time In HH:MM AM/PM]],"hh:mm")</f>
        <v>1/00/1900  00:00</v>
      </c>
      <c r="L25" t="str">
        <f>TEXT(Table8[[#This Row],[Date of Service]],"m/dd/yyyy ")&amp;" "&amp;TEXT(Table8[[#This Row],[Time Out HH:MM AM/PM]],"hh:mm")</f>
        <v>1/00/1900  00:00</v>
      </c>
      <c r="M25" t="b" cm="1">
        <f t="array" ref="M25">SUMPRODUCT((Table8[[#This Row],[Formula3]]&lt;$L$7:$L$70)*(Table8[[#This Row],[Formula4]]&gt;=$K$7:$K$70))&gt;1</f>
        <v>0</v>
      </c>
      <c r="N25" s="92">
        <f>Table8[[#This Row],[Time Out HH:MM AM/PM]]-Table8[[#This Row],[Time In HH:MM AM/PM]]</f>
        <v>0</v>
      </c>
      <c r="O25" s="93" t="str">
        <f>TEXT(Table8[[#This Row],[Formula 1]],"HH:MM")</f>
        <v>00:00</v>
      </c>
      <c r="P25" s="93" t="str">
        <f>LEFT(Table8[[#This Row],[Formula 2]],SEARCH(":",Table8[[#This Row],[Formula 2]])-1)</f>
        <v>00</v>
      </c>
      <c r="Q25" s="93" t="str">
        <f>RIGHT(Table8[[#This Row],[Formula 2]],SEARCH(":",Table8[[#This Row],[Formula 2]])-1)</f>
        <v>00</v>
      </c>
      <c r="R25" s="93">
        <f>Table8[[#This Row],[Hours]]*60+Table8[[#This Row],[Minutes]]</f>
        <v>0</v>
      </c>
      <c r="S25" s="94" t="str">
        <f>IF(ISBLANK(Table8[[#This Row],[Approved Service Provided]]),"",IF(OR(Table8[[#This Row],[Formula2]]="DAYS",Table8[[#This Row],[Formula2]]="TRIP"),1,ROUNDDOWN((Table8[[#This Row],[Total Minutes]]+7)/15,0)))</f>
        <v/>
      </c>
      <c r="T25" s="95" t="str">
        <f>IFERROR(VLOOKUP(Table8[[#This Row],[Combined]],'Optimax Rates'!D:G,4,FALSE),"")</f>
        <v/>
      </c>
      <c r="U25" s="95" t="str">
        <f>IF(Table8[[#This Row],[Rate]]="","",Table8[[#This Row],[Units]]*Table8[[#This Row],[Rate]])</f>
        <v/>
      </c>
      <c r="V25" s="154"/>
      <c r="W25" s="154"/>
      <c r="X25" s="154"/>
    </row>
    <row r="26" spans="1:24" s="4" customFormat="1" ht="13.5" thickBot="1">
      <c r="A26" s="19"/>
      <c r="B26" s="16"/>
      <c r="C26" s="70"/>
      <c r="D26" s="1"/>
      <c r="E26" s="2"/>
      <c r="F26" s="2"/>
      <c r="G26" s="96">
        <f t="shared" si="0"/>
        <v>0</v>
      </c>
      <c r="H26" t="str">
        <f>Table8[[#This Row],[Program Code]]&amp;Table8[[#This Row],[Approved Service Provided]]&amp;Table8[[#This Row],[County of Service]]</f>
        <v/>
      </c>
      <c r="I26" t="str">
        <f>IF(Table8[[#This Row],[Waiver]]="State SLS", "8", IF(Table8[[#This Row],[Waiver]]="OBRA", "9", ""))</f>
        <v/>
      </c>
      <c r="J26" t="str">
        <f>IFERROR(VLOOKUP(Table8[[#This Row],[Combined]],'Optimax Rates'!D:E,2,FALSE),"")</f>
        <v/>
      </c>
      <c r="K26" t="str">
        <f>TEXT(Table8[[#This Row],[Date of Service]],"m/dd/yyyy ")&amp;" "&amp;TEXT(Table8[[#This Row],[Time In HH:MM AM/PM]],"hh:mm")</f>
        <v>1/00/1900  00:00</v>
      </c>
      <c r="L26" t="str">
        <f>TEXT(Table8[[#This Row],[Date of Service]],"m/dd/yyyy ")&amp;" "&amp;TEXT(Table8[[#This Row],[Time Out HH:MM AM/PM]],"hh:mm")</f>
        <v>1/00/1900  00:00</v>
      </c>
      <c r="M26" t="b" cm="1">
        <f t="array" ref="M26">SUMPRODUCT((Table8[[#This Row],[Formula3]]&lt;$L$7:$L$70)*(Table8[[#This Row],[Formula4]]&gt;=$K$7:$K$70))&gt;1</f>
        <v>0</v>
      </c>
      <c r="N26" s="92">
        <f>Table8[[#This Row],[Time Out HH:MM AM/PM]]-Table8[[#This Row],[Time In HH:MM AM/PM]]</f>
        <v>0</v>
      </c>
      <c r="O26" s="93" t="str">
        <f>TEXT(Table8[[#This Row],[Formula 1]],"HH:MM")</f>
        <v>00:00</v>
      </c>
      <c r="P26" s="93" t="str">
        <f>LEFT(Table8[[#This Row],[Formula 2]],SEARCH(":",Table8[[#This Row],[Formula 2]])-1)</f>
        <v>00</v>
      </c>
      <c r="Q26" s="93" t="str">
        <f>RIGHT(Table8[[#This Row],[Formula 2]],SEARCH(":",Table8[[#This Row],[Formula 2]])-1)</f>
        <v>00</v>
      </c>
      <c r="R26" s="93">
        <f>Table8[[#This Row],[Hours]]*60+Table8[[#This Row],[Minutes]]</f>
        <v>0</v>
      </c>
      <c r="S26" s="94" t="str">
        <f>IF(ISBLANK(Table8[[#This Row],[Approved Service Provided]]),"",IF(OR(Table8[[#This Row],[Formula2]]="DAYS",Table8[[#This Row],[Formula2]]="TRIP"),1,ROUNDDOWN((Table8[[#This Row],[Total Minutes]]+7)/15,0)))</f>
        <v/>
      </c>
      <c r="T26" s="95" t="str">
        <f>IFERROR(VLOOKUP(Table8[[#This Row],[Combined]],'Optimax Rates'!D:G,4,FALSE),"")</f>
        <v/>
      </c>
      <c r="U26" s="95" t="str">
        <f>IF(Table8[[#This Row],[Rate]]="","",Table8[[#This Row],[Units]]*Table8[[#This Row],[Rate]])</f>
        <v/>
      </c>
      <c r="V26" s="154"/>
      <c r="W26" s="154"/>
      <c r="X26" s="154"/>
    </row>
    <row r="27" spans="1:24" s="4" customFormat="1" ht="13.5" thickBot="1">
      <c r="A27" s="19"/>
      <c r="B27" s="16"/>
      <c r="C27" s="70"/>
      <c r="D27" s="1"/>
      <c r="E27" s="2"/>
      <c r="F27" s="2"/>
      <c r="G27" s="96">
        <f t="shared" si="0"/>
        <v>0</v>
      </c>
      <c r="H27" t="str">
        <f>Table8[[#This Row],[Program Code]]&amp;Table8[[#This Row],[Approved Service Provided]]&amp;Table8[[#This Row],[County of Service]]</f>
        <v/>
      </c>
      <c r="I27" t="str">
        <f>IF(Table8[[#This Row],[Waiver]]="State SLS", "8", IF(Table8[[#This Row],[Waiver]]="OBRA", "9", ""))</f>
        <v/>
      </c>
      <c r="J27" t="str">
        <f>IFERROR(VLOOKUP(Table8[[#This Row],[Combined]],'Optimax Rates'!D:E,2,FALSE),"")</f>
        <v/>
      </c>
      <c r="K27" t="str">
        <f>TEXT(Table8[[#This Row],[Date of Service]],"m/dd/yyyy ")&amp;" "&amp;TEXT(Table8[[#This Row],[Time In HH:MM AM/PM]],"hh:mm")</f>
        <v>1/00/1900  00:00</v>
      </c>
      <c r="L27" t="str">
        <f>TEXT(Table8[[#This Row],[Date of Service]],"m/dd/yyyy ")&amp;" "&amp;TEXT(Table8[[#This Row],[Time Out HH:MM AM/PM]],"hh:mm")</f>
        <v>1/00/1900  00:00</v>
      </c>
      <c r="M27" t="b" cm="1">
        <f t="array" ref="M27">SUMPRODUCT((Table8[[#This Row],[Formula3]]&lt;$L$7:$L$70)*(Table8[[#This Row],[Formula4]]&gt;=$K$7:$K$70))&gt;1</f>
        <v>0</v>
      </c>
      <c r="N27" s="92">
        <f>Table8[[#This Row],[Time Out HH:MM AM/PM]]-Table8[[#This Row],[Time In HH:MM AM/PM]]</f>
        <v>0</v>
      </c>
      <c r="O27" s="93" t="str">
        <f>TEXT(Table8[[#This Row],[Formula 1]],"HH:MM")</f>
        <v>00:00</v>
      </c>
      <c r="P27" s="93" t="str">
        <f>LEFT(Table8[[#This Row],[Formula 2]],SEARCH(":",Table8[[#This Row],[Formula 2]])-1)</f>
        <v>00</v>
      </c>
      <c r="Q27" s="93" t="str">
        <f>RIGHT(Table8[[#This Row],[Formula 2]],SEARCH(":",Table8[[#This Row],[Formula 2]])-1)</f>
        <v>00</v>
      </c>
      <c r="R27" s="93">
        <f>Table8[[#This Row],[Hours]]*60+Table8[[#This Row],[Minutes]]</f>
        <v>0</v>
      </c>
      <c r="S27" s="94" t="str">
        <f>IF(ISBLANK(Table8[[#This Row],[Approved Service Provided]]),"",IF(OR(Table8[[#This Row],[Formula2]]="DAYS",Table8[[#This Row],[Formula2]]="TRIP"),1,ROUNDDOWN((Table8[[#This Row],[Total Minutes]]+7)/15,0)))</f>
        <v/>
      </c>
      <c r="T27" s="95" t="str">
        <f>IFERROR(VLOOKUP(Table8[[#This Row],[Combined]],'Optimax Rates'!D:G,4,FALSE),"")</f>
        <v/>
      </c>
      <c r="U27" s="95" t="str">
        <f>IF(Table8[[#This Row],[Rate]]="","",Table8[[#This Row],[Units]]*Table8[[#This Row],[Rate]])</f>
        <v/>
      </c>
      <c r="V27" s="154"/>
      <c r="W27" s="154"/>
      <c r="X27" s="154"/>
    </row>
    <row r="28" spans="1:24" s="4" customFormat="1" ht="13.5" thickBot="1">
      <c r="A28" s="19"/>
      <c r="B28" s="16"/>
      <c r="C28" s="70"/>
      <c r="D28" s="1"/>
      <c r="E28" s="2"/>
      <c r="F28" s="2"/>
      <c r="G28" s="96">
        <f t="shared" si="0"/>
        <v>0</v>
      </c>
      <c r="H28" t="str">
        <f>Table8[[#This Row],[Program Code]]&amp;Table8[[#This Row],[Approved Service Provided]]&amp;Table8[[#This Row],[County of Service]]</f>
        <v/>
      </c>
      <c r="I28" t="str">
        <f>IF(Table8[[#This Row],[Waiver]]="State SLS", "8", IF(Table8[[#This Row],[Waiver]]="OBRA", "9", ""))</f>
        <v/>
      </c>
      <c r="J28" t="str">
        <f>IFERROR(VLOOKUP(Table8[[#This Row],[Combined]],'Optimax Rates'!D:E,2,FALSE),"")</f>
        <v/>
      </c>
      <c r="K28" t="str">
        <f>TEXT(Table8[[#This Row],[Date of Service]],"m/dd/yyyy ")&amp;" "&amp;TEXT(Table8[[#This Row],[Time In HH:MM AM/PM]],"hh:mm")</f>
        <v>1/00/1900  00:00</v>
      </c>
      <c r="L28" t="str">
        <f>TEXT(Table8[[#This Row],[Date of Service]],"m/dd/yyyy ")&amp;" "&amp;TEXT(Table8[[#This Row],[Time Out HH:MM AM/PM]],"hh:mm")</f>
        <v>1/00/1900  00:00</v>
      </c>
      <c r="M28" t="b" cm="1">
        <f t="array" ref="M28">SUMPRODUCT((Table8[[#This Row],[Formula3]]&lt;$L$7:$L$70)*(Table8[[#This Row],[Formula4]]&gt;=$K$7:$K$70))&gt;1</f>
        <v>0</v>
      </c>
      <c r="N28" s="92">
        <f>Table8[[#This Row],[Time Out HH:MM AM/PM]]-Table8[[#This Row],[Time In HH:MM AM/PM]]</f>
        <v>0</v>
      </c>
      <c r="O28" s="93" t="str">
        <f>TEXT(Table8[[#This Row],[Formula 1]],"HH:MM")</f>
        <v>00:00</v>
      </c>
      <c r="P28" s="93" t="str">
        <f>LEFT(Table8[[#This Row],[Formula 2]],SEARCH(":",Table8[[#This Row],[Formula 2]])-1)</f>
        <v>00</v>
      </c>
      <c r="Q28" s="93" t="str">
        <f>RIGHT(Table8[[#This Row],[Formula 2]],SEARCH(":",Table8[[#This Row],[Formula 2]])-1)</f>
        <v>00</v>
      </c>
      <c r="R28" s="93">
        <f>Table8[[#This Row],[Hours]]*60+Table8[[#This Row],[Minutes]]</f>
        <v>0</v>
      </c>
      <c r="S28" s="94" t="str">
        <f>IF(ISBLANK(Table8[[#This Row],[Approved Service Provided]]),"",IF(OR(Table8[[#This Row],[Formula2]]="DAYS",Table8[[#This Row],[Formula2]]="TRIP"),1,ROUNDDOWN((Table8[[#This Row],[Total Minutes]]+7)/15,0)))</f>
        <v/>
      </c>
      <c r="T28" s="95" t="str">
        <f>IFERROR(VLOOKUP(Table8[[#This Row],[Combined]],'Optimax Rates'!D:G,4,FALSE),"")</f>
        <v/>
      </c>
      <c r="U28" s="95" t="str">
        <f>IF(Table8[[#This Row],[Rate]]="","",Table8[[#This Row],[Units]]*Table8[[#This Row],[Rate]])</f>
        <v/>
      </c>
      <c r="V28" s="154"/>
      <c r="W28" s="154"/>
      <c r="X28" s="154"/>
    </row>
    <row r="29" spans="1:24" s="3" customFormat="1">
      <c r="A29" s="19"/>
      <c r="B29" s="16"/>
      <c r="C29" s="70"/>
      <c r="D29" s="1"/>
      <c r="E29" s="2"/>
      <c r="F29" s="2"/>
      <c r="G29" s="96">
        <f t="shared" si="0"/>
        <v>0</v>
      </c>
      <c r="H29" t="str">
        <f>Table8[[#This Row],[Program Code]]&amp;Table8[[#This Row],[Approved Service Provided]]&amp;Table8[[#This Row],[County of Service]]</f>
        <v/>
      </c>
      <c r="I29" t="str">
        <f>IF(Table8[[#This Row],[Waiver]]="State SLS", "8", IF(Table8[[#This Row],[Waiver]]="OBRA", "9", ""))</f>
        <v/>
      </c>
      <c r="J29" t="str">
        <f>IFERROR(VLOOKUP(Table8[[#This Row],[Combined]],'Optimax Rates'!D:E,2,FALSE),"")</f>
        <v/>
      </c>
      <c r="K29" t="str">
        <f>TEXT(Table8[[#This Row],[Date of Service]],"m/dd/yyyy ")&amp;" "&amp;TEXT(Table8[[#This Row],[Time In HH:MM AM/PM]],"hh:mm")</f>
        <v>1/00/1900  00:00</v>
      </c>
      <c r="L29" t="str">
        <f>TEXT(Table8[[#This Row],[Date of Service]],"m/dd/yyyy ")&amp;" "&amp;TEXT(Table8[[#This Row],[Time Out HH:MM AM/PM]],"hh:mm")</f>
        <v>1/00/1900  00:00</v>
      </c>
      <c r="M29" t="b" cm="1">
        <f t="array" ref="M29">SUMPRODUCT((Table8[[#This Row],[Formula3]]&lt;$L$7:$L$70)*(Table8[[#This Row],[Formula4]]&gt;=$K$7:$K$70))&gt;1</f>
        <v>0</v>
      </c>
      <c r="N29" s="92">
        <f>Table8[[#This Row],[Time Out HH:MM AM/PM]]-Table8[[#This Row],[Time In HH:MM AM/PM]]</f>
        <v>0</v>
      </c>
      <c r="O29" s="93" t="str">
        <f>TEXT(Table8[[#This Row],[Formula 1]],"HH:MM")</f>
        <v>00:00</v>
      </c>
      <c r="P29" s="93" t="str">
        <f>LEFT(Table8[[#This Row],[Formula 2]],SEARCH(":",Table8[[#This Row],[Formula 2]])-1)</f>
        <v>00</v>
      </c>
      <c r="Q29" s="93" t="str">
        <f>RIGHT(Table8[[#This Row],[Formula 2]],SEARCH(":",Table8[[#This Row],[Formula 2]])-1)</f>
        <v>00</v>
      </c>
      <c r="R29" s="93">
        <f>Table8[[#This Row],[Hours]]*60+Table8[[#This Row],[Minutes]]</f>
        <v>0</v>
      </c>
      <c r="S29" s="94" t="str">
        <f>IF(ISBLANK(Table8[[#This Row],[Approved Service Provided]]),"",IF(OR(Table8[[#This Row],[Formula2]]="DAYS",Table8[[#This Row],[Formula2]]="TRIP"),1,ROUNDDOWN((Table8[[#This Row],[Total Minutes]]+7)/15,0)))</f>
        <v/>
      </c>
      <c r="T29" s="95" t="str">
        <f>IFERROR(VLOOKUP(Table8[[#This Row],[Combined]],'Optimax Rates'!D:G,4,FALSE),"")</f>
        <v/>
      </c>
      <c r="U29" s="95" t="str">
        <f>IF(Table8[[#This Row],[Rate]]="","",Table8[[#This Row],[Units]]*Table8[[#This Row],[Rate]])</f>
        <v/>
      </c>
      <c r="V29" s="154"/>
      <c r="W29" s="154"/>
      <c r="X29" s="154"/>
    </row>
    <row r="30" spans="1:24" s="3" customFormat="1" ht="13.5" hidden="1" thickBot="1">
      <c r="A30" s="57"/>
      <c r="B30" s="61"/>
      <c r="C30" s="157"/>
      <c r="D30" s="62"/>
      <c r="E30" s="63"/>
      <c r="F30" s="63"/>
      <c r="G30" s="96">
        <f t="shared" si="0"/>
        <v>0</v>
      </c>
      <c r="H30" t="str">
        <f>Table8[[#This Row],[Program Code]]&amp;Table8[[#This Row],[Approved Service Provided]]&amp;Table8[[#This Row],[County of Service]]</f>
        <v/>
      </c>
      <c r="I30" t="str">
        <f>IF(Table8[[#This Row],[Waiver]]="State SLS", "8", IF(Table8[[#This Row],[Waiver]]="OBRA", "9", ""))</f>
        <v/>
      </c>
      <c r="J30" t="str">
        <f>IFERROR(VLOOKUP(Table8[[#This Row],[Combined]],'Optimax Rates'!D:E,2,FALSE),"")</f>
        <v/>
      </c>
      <c r="K30" t="str">
        <f>TEXT(Table8[[#This Row],[Date of Service]],"m/dd/yyyy ")&amp;" "&amp;TEXT(Table8[[#This Row],[Time In HH:MM AM/PM]],"hh:mm")</f>
        <v>1/00/1900  00:00</v>
      </c>
      <c r="L30" t="str">
        <f>TEXT(Table8[[#This Row],[Date of Service]],"m/dd/yyyy ")&amp;" "&amp;TEXT(Table8[[#This Row],[Time Out HH:MM AM/PM]],"hh:mm")</f>
        <v>1/00/1900  00:00</v>
      </c>
      <c r="M30" t="b" cm="1">
        <f t="array" ref="M30">SUMPRODUCT((Table8[[#This Row],[Formula3]]&lt;$L$7:$L$70)*(Table8[[#This Row],[Formula4]]&gt;=$K$7:$K$70))&gt;1</f>
        <v>0</v>
      </c>
      <c r="N30" s="92">
        <f>Table8[[#This Row],[Time Out HH:MM AM/PM]]-Table8[[#This Row],[Time In HH:MM AM/PM]]</f>
        <v>0</v>
      </c>
      <c r="O30" s="93" t="str">
        <f>TEXT(Table8[[#This Row],[Formula 1]],"HH:MM")</f>
        <v>00:00</v>
      </c>
      <c r="P30" s="93" t="str">
        <f>LEFT(Table8[[#This Row],[Formula 2]],SEARCH(":",Table8[[#This Row],[Formula 2]])-1)</f>
        <v>00</v>
      </c>
      <c r="Q30" s="93" t="str">
        <f>RIGHT(Table8[[#This Row],[Formula 2]],SEARCH(":",Table8[[#This Row],[Formula 2]])-1)</f>
        <v>00</v>
      </c>
      <c r="R30" s="93">
        <f>Table8[[#This Row],[Hours]]*60+Table8[[#This Row],[Minutes]]</f>
        <v>0</v>
      </c>
      <c r="S30" s="94" t="str">
        <f>IF(ISBLANK(Table8[[#This Row],[Approved Service Provided]]),"",IF(OR(Table8[[#This Row],[Formula2]]="DAYS",Table8[[#This Row],[Formula2]]="TRIP"),1,ROUNDDOWN((Table8[[#This Row],[Total Minutes]]+7)/15,0)))</f>
        <v/>
      </c>
      <c r="T30" s="95" t="str">
        <f>IFERROR(VLOOKUP(Table8[[#This Row],[Combined]],'Optimax Rates'!D:G,4,FALSE),"")</f>
        <v/>
      </c>
      <c r="U30" s="95" t="str">
        <f>IF(Table8[[#This Row],[Rate]]="","",Table8[[#This Row],[Units]]*Table8[[#This Row],[Rate]])</f>
        <v/>
      </c>
      <c r="V30" s="154"/>
      <c r="W30" s="154"/>
      <c r="X30" s="154"/>
    </row>
    <row r="31" spans="1:24" s="3" customFormat="1" ht="13.5" hidden="1" thickBot="1">
      <c r="A31" s="57"/>
      <c r="B31" s="61"/>
      <c r="C31" s="157"/>
      <c r="D31" s="62"/>
      <c r="E31" s="63"/>
      <c r="F31" s="63"/>
      <c r="G31" s="96">
        <f t="shared" si="0"/>
        <v>0</v>
      </c>
      <c r="H31" t="str">
        <f>Table8[[#This Row],[Program Code]]&amp;Table8[[#This Row],[Approved Service Provided]]&amp;Table8[[#This Row],[County of Service]]</f>
        <v/>
      </c>
      <c r="I31" t="str">
        <f>IF(Table8[[#This Row],[Waiver]]="State SLS", "8", IF(Table8[[#This Row],[Waiver]]="OBRA", "9", ""))</f>
        <v/>
      </c>
      <c r="J31" t="str">
        <f>IFERROR(VLOOKUP(Table8[[#This Row],[Combined]],'Optimax Rates'!D:E,2,FALSE),"")</f>
        <v/>
      </c>
      <c r="K31" t="str">
        <f>TEXT(Table8[[#This Row],[Date of Service]],"m/dd/yyyy ")&amp;" "&amp;TEXT(Table8[[#This Row],[Time In HH:MM AM/PM]],"hh:mm")</f>
        <v>1/00/1900  00:00</v>
      </c>
      <c r="L31" t="str">
        <f>TEXT(Table8[[#This Row],[Date of Service]],"m/dd/yyyy ")&amp;" "&amp;TEXT(Table8[[#This Row],[Time Out HH:MM AM/PM]],"hh:mm")</f>
        <v>1/00/1900  00:00</v>
      </c>
      <c r="M31" t="b" cm="1">
        <f t="array" ref="M31">SUMPRODUCT((Table8[[#This Row],[Formula3]]&lt;$L$7:$L$70)*(Table8[[#This Row],[Formula4]]&gt;=$K$7:$K$70))&gt;1</f>
        <v>0</v>
      </c>
      <c r="N31" s="92">
        <f>Table8[[#This Row],[Time Out HH:MM AM/PM]]-Table8[[#This Row],[Time In HH:MM AM/PM]]</f>
        <v>0</v>
      </c>
      <c r="O31" s="93" t="str">
        <f>TEXT(Table8[[#This Row],[Formula 1]],"HH:MM")</f>
        <v>00:00</v>
      </c>
      <c r="P31" s="93" t="str">
        <f>LEFT(Table8[[#This Row],[Formula 2]],SEARCH(":",Table8[[#This Row],[Formula 2]])-1)</f>
        <v>00</v>
      </c>
      <c r="Q31" s="93" t="str">
        <f>RIGHT(Table8[[#This Row],[Formula 2]],SEARCH(":",Table8[[#This Row],[Formula 2]])-1)</f>
        <v>00</v>
      </c>
      <c r="R31" s="93">
        <f>Table8[[#This Row],[Hours]]*60+Table8[[#This Row],[Minutes]]</f>
        <v>0</v>
      </c>
      <c r="S31" s="94" t="str">
        <f>IF(ISBLANK(Table8[[#This Row],[Approved Service Provided]]),"",IF(OR(Table8[[#This Row],[Formula2]]="DAYS",Table8[[#This Row],[Formula2]]="TRIP"),1,ROUNDDOWN((Table8[[#This Row],[Total Minutes]]+7)/15,0)))</f>
        <v/>
      </c>
      <c r="T31" s="95" t="str">
        <f>IFERROR(VLOOKUP(Table8[[#This Row],[Combined]],'Optimax Rates'!D:G,4,FALSE),"")</f>
        <v/>
      </c>
      <c r="U31" s="95" t="str">
        <f>IF(Table8[[#This Row],[Rate]]="","",Table8[[#This Row],[Units]]*Table8[[#This Row],[Rate]])</f>
        <v/>
      </c>
      <c r="V31" s="154"/>
      <c r="W31" s="154"/>
      <c r="X31" s="154"/>
    </row>
    <row r="32" spans="1:24" s="3" customFormat="1" ht="13.5" hidden="1" thickBot="1">
      <c r="A32" s="57"/>
      <c r="B32" s="61"/>
      <c r="C32" s="157"/>
      <c r="D32" s="62"/>
      <c r="E32" s="63"/>
      <c r="F32" s="63"/>
      <c r="G32" s="96">
        <f t="shared" si="0"/>
        <v>0</v>
      </c>
      <c r="H32" t="str">
        <f>Table8[[#This Row],[Program Code]]&amp;Table8[[#This Row],[Approved Service Provided]]&amp;Table8[[#This Row],[County of Service]]</f>
        <v/>
      </c>
      <c r="I32" t="str">
        <f>IF(Table8[[#This Row],[Waiver]]="State SLS", "8", IF(Table8[[#This Row],[Waiver]]="OBRA", "9", ""))</f>
        <v/>
      </c>
      <c r="J32" t="str">
        <f>IFERROR(VLOOKUP(Table8[[#This Row],[Combined]],'Optimax Rates'!D:E,2,FALSE),"")</f>
        <v/>
      </c>
      <c r="K32" t="str">
        <f>TEXT(Table8[[#This Row],[Date of Service]],"m/dd/yyyy ")&amp;" "&amp;TEXT(Table8[[#This Row],[Time In HH:MM AM/PM]],"hh:mm")</f>
        <v>1/00/1900  00:00</v>
      </c>
      <c r="L32" t="str">
        <f>TEXT(Table8[[#This Row],[Date of Service]],"m/dd/yyyy ")&amp;" "&amp;TEXT(Table8[[#This Row],[Time Out HH:MM AM/PM]],"hh:mm")</f>
        <v>1/00/1900  00:00</v>
      </c>
      <c r="M32" t="b" cm="1">
        <f t="array" ref="M32">SUMPRODUCT((Table8[[#This Row],[Formula3]]&lt;$L$7:$L$70)*(Table8[[#This Row],[Formula4]]&gt;=$K$7:$K$70))&gt;1</f>
        <v>0</v>
      </c>
      <c r="N32" s="92">
        <f>Table8[[#This Row],[Time Out HH:MM AM/PM]]-Table8[[#This Row],[Time In HH:MM AM/PM]]</f>
        <v>0</v>
      </c>
      <c r="O32" s="93" t="str">
        <f>TEXT(Table8[[#This Row],[Formula 1]],"HH:MM")</f>
        <v>00:00</v>
      </c>
      <c r="P32" s="93" t="str">
        <f>LEFT(Table8[[#This Row],[Formula 2]],SEARCH(":",Table8[[#This Row],[Formula 2]])-1)</f>
        <v>00</v>
      </c>
      <c r="Q32" s="93" t="str">
        <f>RIGHT(Table8[[#This Row],[Formula 2]],SEARCH(":",Table8[[#This Row],[Formula 2]])-1)</f>
        <v>00</v>
      </c>
      <c r="R32" s="93">
        <f>Table8[[#This Row],[Hours]]*60+Table8[[#This Row],[Minutes]]</f>
        <v>0</v>
      </c>
      <c r="S32" s="94" t="str">
        <f>IF(ISBLANK(Table8[[#This Row],[Approved Service Provided]]),"",IF(OR(Table8[[#This Row],[Formula2]]="DAYS",Table8[[#This Row],[Formula2]]="TRIP"),1,ROUNDDOWN((Table8[[#This Row],[Total Minutes]]+7)/15,0)))</f>
        <v/>
      </c>
      <c r="T32" s="95" t="str">
        <f>IFERROR(VLOOKUP(Table8[[#This Row],[Combined]],'Optimax Rates'!D:G,4,FALSE),"")</f>
        <v/>
      </c>
      <c r="U32" s="95" t="str">
        <f>IF(Table8[[#This Row],[Rate]]="","",Table8[[#This Row],[Units]]*Table8[[#This Row],[Rate]])</f>
        <v/>
      </c>
      <c r="V32" s="154"/>
      <c r="W32" s="154"/>
      <c r="X32" s="154"/>
    </row>
    <row r="33" spans="1:25" s="3" customFormat="1" ht="13.5" hidden="1" thickBot="1">
      <c r="A33" s="19"/>
      <c r="B33" s="16"/>
      <c r="C33" s="70"/>
      <c r="D33" s="1"/>
      <c r="E33" s="2"/>
      <c r="F33" s="2"/>
      <c r="G33" s="96">
        <f t="shared" si="0"/>
        <v>0</v>
      </c>
      <c r="H33" t="str">
        <f>Table8[[#This Row],[Program Code]]&amp;Table8[[#This Row],[Approved Service Provided]]&amp;Table8[[#This Row],[County of Service]]</f>
        <v/>
      </c>
      <c r="I33" t="str">
        <f>IF(Table8[[#This Row],[Waiver]]="State SLS", "8", IF(Table8[[#This Row],[Waiver]]="OBRA", "9", ""))</f>
        <v/>
      </c>
      <c r="J33" t="str">
        <f>IFERROR(VLOOKUP(Table8[[#This Row],[Combined]],'Optimax Rates'!D:E,2,FALSE),"")</f>
        <v/>
      </c>
      <c r="K33" t="str">
        <f>TEXT(Table8[[#This Row],[Date of Service]],"m/dd/yyyy ")&amp;" "&amp;TEXT(Table8[[#This Row],[Time In HH:MM AM/PM]],"hh:mm")</f>
        <v>1/00/1900  00:00</v>
      </c>
      <c r="L33" t="str">
        <f>TEXT(Table8[[#This Row],[Date of Service]],"m/dd/yyyy ")&amp;" "&amp;TEXT(Table8[[#This Row],[Time Out HH:MM AM/PM]],"hh:mm")</f>
        <v>1/00/1900  00:00</v>
      </c>
      <c r="M33" t="b" cm="1">
        <f t="array" ref="M33">SUMPRODUCT((Table8[[#This Row],[Formula3]]&lt;$L$7:$L$70)*(Table8[[#This Row],[Formula4]]&gt;=$K$7:$K$70))&gt;1</f>
        <v>0</v>
      </c>
      <c r="N33" s="92">
        <f>Table8[[#This Row],[Time Out HH:MM AM/PM]]-Table8[[#This Row],[Time In HH:MM AM/PM]]</f>
        <v>0</v>
      </c>
      <c r="O33" s="93" t="str">
        <f>TEXT(Table8[[#This Row],[Formula 1]],"HH:MM")</f>
        <v>00:00</v>
      </c>
      <c r="P33" s="93" t="str">
        <f>LEFT(Table8[[#This Row],[Formula 2]],SEARCH(":",Table8[[#This Row],[Formula 2]])-1)</f>
        <v>00</v>
      </c>
      <c r="Q33" s="93" t="str">
        <f>RIGHT(Table8[[#This Row],[Formula 2]],SEARCH(":",Table8[[#This Row],[Formula 2]])-1)</f>
        <v>00</v>
      </c>
      <c r="R33" s="93">
        <f>Table8[[#This Row],[Hours]]*60+Table8[[#This Row],[Minutes]]</f>
        <v>0</v>
      </c>
      <c r="S33" s="94" t="str">
        <f>IF(ISBLANK(Table8[[#This Row],[Approved Service Provided]]),"",IF(OR(Table8[[#This Row],[Formula2]]="DAYS",Table8[[#This Row],[Formula2]]="TRIP"),1,ROUNDDOWN((Table8[[#This Row],[Total Minutes]]+7)/15,0)))</f>
        <v/>
      </c>
      <c r="T33" s="95" t="str">
        <f>IFERROR(VLOOKUP(Table8[[#This Row],[Combined]],'Optimax Rates'!D:G,4,FALSE),"")</f>
        <v/>
      </c>
      <c r="U33" s="95" t="str">
        <f>IF(Table8[[#This Row],[Rate]]="","",Table8[[#This Row],[Units]]*Table8[[#This Row],[Rate]])</f>
        <v/>
      </c>
      <c r="V33" s="154"/>
      <c r="W33" s="154"/>
      <c r="X33" s="154"/>
    </row>
    <row r="34" spans="1:25" s="3" customFormat="1" ht="13.5" hidden="1" thickBot="1">
      <c r="A34" s="19"/>
      <c r="B34" s="16"/>
      <c r="C34" s="70"/>
      <c r="D34" s="1"/>
      <c r="E34" s="2"/>
      <c r="F34" s="2"/>
      <c r="G34" s="96">
        <f t="shared" si="0"/>
        <v>0</v>
      </c>
      <c r="H34" t="str">
        <f>Table8[[#This Row],[Program Code]]&amp;Table8[[#This Row],[Approved Service Provided]]&amp;Table8[[#This Row],[County of Service]]</f>
        <v/>
      </c>
      <c r="I34" t="str">
        <f>IF(Table8[[#This Row],[Waiver]]="State SLS", "8", IF(Table8[[#This Row],[Waiver]]="OBRA", "9", ""))</f>
        <v/>
      </c>
      <c r="J34" t="str">
        <f>IFERROR(VLOOKUP(Table8[[#This Row],[Combined]],'Optimax Rates'!D:E,2,FALSE),"")</f>
        <v/>
      </c>
      <c r="K34" t="str">
        <f>TEXT(Table8[[#This Row],[Date of Service]],"m/dd/yyyy ")&amp;" "&amp;TEXT(Table8[[#This Row],[Time In HH:MM AM/PM]],"hh:mm")</f>
        <v>1/00/1900  00:00</v>
      </c>
      <c r="L34" t="str">
        <f>TEXT(Table8[[#This Row],[Date of Service]],"m/dd/yyyy ")&amp;" "&amp;TEXT(Table8[[#This Row],[Time Out HH:MM AM/PM]],"hh:mm")</f>
        <v>1/00/1900  00:00</v>
      </c>
      <c r="M34" t="b" cm="1">
        <f t="array" ref="M34">SUMPRODUCT((Table8[[#This Row],[Formula3]]&lt;$L$7:$L$70)*(Table8[[#This Row],[Formula4]]&gt;=$K$7:$K$70))&gt;1</f>
        <v>0</v>
      </c>
      <c r="N34" s="92">
        <f>Table8[[#This Row],[Time Out HH:MM AM/PM]]-Table8[[#This Row],[Time In HH:MM AM/PM]]</f>
        <v>0</v>
      </c>
      <c r="O34" s="93" t="str">
        <f>TEXT(Table8[[#This Row],[Formula 1]],"HH:MM")</f>
        <v>00:00</v>
      </c>
      <c r="P34" s="93" t="str">
        <f>LEFT(Table8[[#This Row],[Formula 2]],SEARCH(":",Table8[[#This Row],[Formula 2]])-1)</f>
        <v>00</v>
      </c>
      <c r="Q34" s="93" t="str">
        <f>RIGHT(Table8[[#This Row],[Formula 2]],SEARCH(":",Table8[[#This Row],[Formula 2]])-1)</f>
        <v>00</v>
      </c>
      <c r="R34" s="93">
        <f>Table8[[#This Row],[Hours]]*60+Table8[[#This Row],[Minutes]]</f>
        <v>0</v>
      </c>
      <c r="S34" s="94" t="str">
        <f>IF(ISBLANK(Table8[[#This Row],[Approved Service Provided]]),"",IF(OR(Table8[[#This Row],[Formula2]]="DAYS",Table8[[#This Row],[Formula2]]="TRIP"),1,ROUNDDOWN((Table8[[#This Row],[Total Minutes]]+7)/15,0)))</f>
        <v/>
      </c>
      <c r="T34" s="95" t="str">
        <f>IFERROR(VLOOKUP(Table8[[#This Row],[Combined]],'Optimax Rates'!D:G,4,FALSE),"")</f>
        <v/>
      </c>
      <c r="U34" s="95" t="str">
        <f>IF(Table8[[#This Row],[Rate]]="","",Table8[[#This Row],[Units]]*Table8[[#This Row],[Rate]])</f>
        <v/>
      </c>
      <c r="V34" s="154"/>
      <c r="W34" s="154"/>
      <c r="X34" s="154"/>
      <c r="Y34" s="35"/>
    </row>
    <row r="35" spans="1:25" ht="13.5" hidden="1" thickBot="1">
      <c r="A35" s="19"/>
      <c r="B35" s="16"/>
      <c r="C35" s="70"/>
      <c r="D35" s="1"/>
      <c r="E35" s="2"/>
      <c r="F35" s="2"/>
      <c r="G35" s="96">
        <f t="shared" si="0"/>
        <v>0</v>
      </c>
      <c r="H35" t="str">
        <f>Table8[[#This Row],[Program Code]]&amp;Table8[[#This Row],[Approved Service Provided]]&amp;Table8[[#This Row],[County of Service]]</f>
        <v/>
      </c>
      <c r="I35" t="str">
        <f>IF(Table8[[#This Row],[Waiver]]="State SLS", "8", IF(Table8[[#This Row],[Waiver]]="OBRA", "9", ""))</f>
        <v/>
      </c>
      <c r="J35" t="str">
        <f>IFERROR(VLOOKUP(Table8[[#This Row],[Combined]],'Optimax Rates'!D:E,2,FALSE),"")</f>
        <v/>
      </c>
      <c r="K35" t="str">
        <f>TEXT(Table8[[#This Row],[Date of Service]],"m/dd/yyyy ")&amp;" "&amp;TEXT(Table8[[#This Row],[Time In HH:MM AM/PM]],"hh:mm")</f>
        <v>1/00/1900  00:00</v>
      </c>
      <c r="L35" t="str">
        <f>TEXT(Table8[[#This Row],[Date of Service]],"m/dd/yyyy ")&amp;" "&amp;TEXT(Table8[[#This Row],[Time Out HH:MM AM/PM]],"hh:mm")</f>
        <v>1/00/1900  00:00</v>
      </c>
      <c r="M35" t="b" cm="1">
        <f t="array" ref="M35">SUMPRODUCT((Table8[[#This Row],[Formula3]]&lt;$L$7:$L$70)*(Table8[[#This Row],[Formula4]]&gt;=$K$7:$K$70))&gt;1</f>
        <v>0</v>
      </c>
      <c r="N35" s="92">
        <f>Table8[[#This Row],[Time Out HH:MM AM/PM]]-Table8[[#This Row],[Time In HH:MM AM/PM]]</f>
        <v>0</v>
      </c>
      <c r="O35" s="93" t="str">
        <f>TEXT(Table8[[#This Row],[Formula 1]],"HH:MM")</f>
        <v>00:00</v>
      </c>
      <c r="P35" s="93" t="str">
        <f>LEFT(Table8[[#This Row],[Formula 2]],SEARCH(":",Table8[[#This Row],[Formula 2]])-1)</f>
        <v>00</v>
      </c>
      <c r="Q35" s="93" t="str">
        <f>RIGHT(Table8[[#This Row],[Formula 2]],SEARCH(":",Table8[[#This Row],[Formula 2]])-1)</f>
        <v>00</v>
      </c>
      <c r="R35" s="93">
        <f>Table8[[#This Row],[Hours]]*60+Table8[[#This Row],[Minutes]]</f>
        <v>0</v>
      </c>
      <c r="S35" s="94" t="str">
        <f>IF(ISBLANK(Table8[[#This Row],[Approved Service Provided]]),"",IF(OR(Table8[[#This Row],[Formula2]]="DAYS",Table8[[#This Row],[Formula2]]="TRIP"),1,ROUNDDOWN((Table8[[#This Row],[Total Minutes]]+7)/15,0)))</f>
        <v/>
      </c>
      <c r="T35" s="95" t="str">
        <f>IFERROR(VLOOKUP(Table8[[#This Row],[Combined]],'Optimax Rates'!D:G,4,FALSE),"")</f>
        <v/>
      </c>
      <c r="U35" s="95" t="str">
        <f>IF(Table8[[#This Row],[Rate]]="","",Table8[[#This Row],[Units]]*Table8[[#This Row],[Rate]])</f>
        <v/>
      </c>
      <c r="V35" s="154"/>
      <c r="W35" s="154"/>
      <c r="X35" s="154"/>
      <c r="Y35" s="35"/>
    </row>
    <row r="36" spans="1:25" ht="13.5" hidden="1" thickBot="1">
      <c r="A36" s="19"/>
      <c r="B36" s="16"/>
      <c r="C36" s="70"/>
      <c r="D36" s="1"/>
      <c r="E36" s="2"/>
      <c r="F36" s="2"/>
      <c r="G36" s="96">
        <f t="shared" si="0"/>
        <v>0</v>
      </c>
      <c r="H36" t="str">
        <f>Table8[[#This Row],[Program Code]]&amp;Table8[[#This Row],[Approved Service Provided]]&amp;Table8[[#This Row],[County of Service]]</f>
        <v/>
      </c>
      <c r="I36" t="str">
        <f>IF(Table8[[#This Row],[Waiver]]="State SLS", "8", IF(Table8[[#This Row],[Waiver]]="OBRA", "9", ""))</f>
        <v/>
      </c>
      <c r="J36" t="str">
        <f>IFERROR(VLOOKUP(Table8[[#This Row],[Combined]],'Optimax Rates'!D:E,2,FALSE),"")</f>
        <v/>
      </c>
      <c r="K36" t="str">
        <f>TEXT(Table8[[#This Row],[Date of Service]],"m/dd/yyyy ")&amp;" "&amp;TEXT(Table8[[#This Row],[Time In HH:MM AM/PM]],"hh:mm")</f>
        <v>1/00/1900  00:00</v>
      </c>
      <c r="L36" t="str">
        <f>TEXT(Table8[[#This Row],[Date of Service]],"m/dd/yyyy ")&amp;" "&amp;TEXT(Table8[[#This Row],[Time Out HH:MM AM/PM]],"hh:mm")</f>
        <v>1/00/1900  00:00</v>
      </c>
      <c r="M36" t="b" cm="1">
        <f t="array" ref="M36">SUMPRODUCT((Table8[[#This Row],[Formula3]]&lt;$L$7:$L$70)*(Table8[[#This Row],[Formula4]]&gt;=$K$7:$K$70))&gt;1</f>
        <v>0</v>
      </c>
      <c r="N36" s="92">
        <f>Table8[[#This Row],[Time Out HH:MM AM/PM]]-Table8[[#This Row],[Time In HH:MM AM/PM]]</f>
        <v>0</v>
      </c>
      <c r="O36" s="93" t="str">
        <f>TEXT(Table8[[#This Row],[Formula 1]],"HH:MM")</f>
        <v>00:00</v>
      </c>
      <c r="P36" s="93" t="str">
        <f>LEFT(Table8[[#This Row],[Formula 2]],SEARCH(":",Table8[[#This Row],[Formula 2]])-1)</f>
        <v>00</v>
      </c>
      <c r="Q36" s="93" t="str">
        <f>RIGHT(Table8[[#This Row],[Formula 2]],SEARCH(":",Table8[[#This Row],[Formula 2]])-1)</f>
        <v>00</v>
      </c>
      <c r="R36" s="93">
        <f>Table8[[#This Row],[Hours]]*60+Table8[[#This Row],[Minutes]]</f>
        <v>0</v>
      </c>
      <c r="S36" s="94" t="str">
        <f>IF(ISBLANK(Table8[[#This Row],[Approved Service Provided]]),"",IF(OR(Table8[[#This Row],[Formula2]]="DAYS",Table8[[#This Row],[Formula2]]="TRIP"),1,ROUNDDOWN((Table8[[#This Row],[Total Minutes]]+7)/15,0)))</f>
        <v/>
      </c>
      <c r="T36" s="95" t="str">
        <f>IFERROR(VLOOKUP(Table8[[#This Row],[Combined]],'Optimax Rates'!D:G,4,FALSE),"")</f>
        <v/>
      </c>
      <c r="U36" s="95" t="str">
        <f>IF(Table8[[#This Row],[Rate]]="","",Table8[[#This Row],[Units]]*Table8[[#This Row],[Rate]])</f>
        <v/>
      </c>
      <c r="V36" s="154"/>
      <c r="W36" s="154"/>
      <c r="X36" s="154"/>
    </row>
    <row r="37" spans="1:25" ht="13.5" hidden="1" thickBot="1">
      <c r="A37" s="19"/>
      <c r="B37" s="16"/>
      <c r="C37" s="70"/>
      <c r="D37" s="1"/>
      <c r="E37" s="2"/>
      <c r="F37" s="2"/>
      <c r="G37" s="96">
        <f t="shared" si="0"/>
        <v>0</v>
      </c>
      <c r="H37" t="str">
        <f>Table8[[#This Row],[Program Code]]&amp;Table8[[#This Row],[Approved Service Provided]]&amp;Table8[[#This Row],[County of Service]]</f>
        <v/>
      </c>
      <c r="I37" t="str">
        <f>IF(Table8[[#This Row],[Waiver]]="State SLS", "8", IF(Table8[[#This Row],[Waiver]]="OBRA", "9", ""))</f>
        <v/>
      </c>
      <c r="J37" t="str">
        <f>IFERROR(VLOOKUP(Table8[[#This Row],[Combined]],'Optimax Rates'!D:E,2,FALSE),"")</f>
        <v/>
      </c>
      <c r="K37" t="str">
        <f>TEXT(Table8[[#This Row],[Date of Service]],"m/dd/yyyy ")&amp;" "&amp;TEXT(Table8[[#This Row],[Time In HH:MM AM/PM]],"hh:mm")</f>
        <v>1/00/1900  00:00</v>
      </c>
      <c r="L37" t="str">
        <f>TEXT(Table8[[#This Row],[Date of Service]],"m/dd/yyyy ")&amp;" "&amp;TEXT(Table8[[#This Row],[Time Out HH:MM AM/PM]],"hh:mm")</f>
        <v>1/00/1900  00:00</v>
      </c>
      <c r="M37" t="b" cm="1">
        <f t="array" ref="M37">SUMPRODUCT((Table8[[#This Row],[Formula3]]&lt;$L$7:$L$70)*(Table8[[#This Row],[Formula4]]&gt;=$K$7:$K$70))&gt;1</f>
        <v>0</v>
      </c>
      <c r="N37" s="92">
        <f>Table8[[#This Row],[Time Out HH:MM AM/PM]]-Table8[[#This Row],[Time In HH:MM AM/PM]]</f>
        <v>0</v>
      </c>
      <c r="O37" s="93" t="str">
        <f>TEXT(Table8[[#This Row],[Formula 1]],"HH:MM")</f>
        <v>00:00</v>
      </c>
      <c r="P37" s="93" t="str">
        <f>LEFT(Table8[[#This Row],[Formula 2]],SEARCH(":",Table8[[#This Row],[Formula 2]])-1)</f>
        <v>00</v>
      </c>
      <c r="Q37" s="93" t="str">
        <f>RIGHT(Table8[[#This Row],[Formula 2]],SEARCH(":",Table8[[#This Row],[Formula 2]])-1)</f>
        <v>00</v>
      </c>
      <c r="R37" s="93">
        <f>Table8[[#This Row],[Hours]]*60+Table8[[#This Row],[Minutes]]</f>
        <v>0</v>
      </c>
      <c r="S37" s="94" t="str">
        <f>IF(ISBLANK(Table8[[#This Row],[Approved Service Provided]]),"",IF(OR(Table8[[#This Row],[Formula2]]="DAYS",Table8[[#This Row],[Formula2]]="TRIP"),1,ROUNDDOWN((Table8[[#This Row],[Total Minutes]]+7)/15,0)))</f>
        <v/>
      </c>
      <c r="T37" s="95" t="str">
        <f>IFERROR(VLOOKUP(Table8[[#This Row],[Combined]],'Optimax Rates'!D:G,4,FALSE),"")</f>
        <v/>
      </c>
      <c r="U37" s="95" t="str">
        <f>IF(Table8[[#This Row],[Rate]]="","",Table8[[#This Row],[Units]]*Table8[[#This Row],[Rate]])</f>
        <v/>
      </c>
      <c r="V37" s="154"/>
      <c r="W37" s="154"/>
      <c r="X37" s="154"/>
    </row>
    <row r="38" spans="1:25" ht="13.5" hidden="1" thickBot="1">
      <c r="A38" s="19"/>
      <c r="B38" s="16"/>
      <c r="C38" s="70"/>
      <c r="D38" s="1"/>
      <c r="E38" s="2"/>
      <c r="F38" s="2"/>
      <c r="G38" s="96">
        <f t="shared" si="0"/>
        <v>0</v>
      </c>
      <c r="H38" t="str">
        <f>Table8[[#This Row],[Program Code]]&amp;Table8[[#This Row],[Approved Service Provided]]&amp;Table8[[#This Row],[County of Service]]</f>
        <v/>
      </c>
      <c r="I38" t="str">
        <f>IF(Table8[[#This Row],[Waiver]]="State SLS", "8", IF(Table8[[#This Row],[Waiver]]="OBRA", "9", ""))</f>
        <v/>
      </c>
      <c r="J38" t="str">
        <f>IFERROR(VLOOKUP(Table8[[#This Row],[Combined]],'Optimax Rates'!D:E,2,FALSE),"")</f>
        <v/>
      </c>
      <c r="K38" t="str">
        <f>TEXT(Table8[[#This Row],[Date of Service]],"m/dd/yyyy ")&amp;" "&amp;TEXT(Table8[[#This Row],[Time In HH:MM AM/PM]],"hh:mm")</f>
        <v>1/00/1900  00:00</v>
      </c>
      <c r="L38" t="str">
        <f>TEXT(Table8[[#This Row],[Date of Service]],"m/dd/yyyy ")&amp;" "&amp;TEXT(Table8[[#This Row],[Time Out HH:MM AM/PM]],"hh:mm")</f>
        <v>1/00/1900  00:00</v>
      </c>
      <c r="M38" t="b" cm="1">
        <f t="array" ref="M38">SUMPRODUCT((Table8[[#This Row],[Formula3]]&lt;$L$7:$L$70)*(Table8[[#This Row],[Formula4]]&gt;=$K$7:$K$70))&gt;1</f>
        <v>0</v>
      </c>
      <c r="N38" s="92">
        <f>Table8[[#This Row],[Time Out HH:MM AM/PM]]-Table8[[#This Row],[Time In HH:MM AM/PM]]</f>
        <v>0</v>
      </c>
      <c r="O38" s="93" t="str">
        <f>TEXT(Table8[[#This Row],[Formula 1]],"HH:MM")</f>
        <v>00:00</v>
      </c>
      <c r="P38" s="93" t="str">
        <f>LEFT(Table8[[#This Row],[Formula 2]],SEARCH(":",Table8[[#This Row],[Formula 2]])-1)</f>
        <v>00</v>
      </c>
      <c r="Q38" s="93" t="str">
        <f>RIGHT(Table8[[#This Row],[Formula 2]],SEARCH(":",Table8[[#This Row],[Formula 2]])-1)</f>
        <v>00</v>
      </c>
      <c r="R38" s="93">
        <f>Table8[[#This Row],[Hours]]*60+Table8[[#This Row],[Minutes]]</f>
        <v>0</v>
      </c>
      <c r="S38" s="94" t="str">
        <f>IF(ISBLANK(Table8[[#This Row],[Approved Service Provided]]),"",IF(OR(Table8[[#This Row],[Formula2]]="DAYS",Table8[[#This Row],[Formula2]]="TRIP"),1,ROUNDDOWN((Table8[[#This Row],[Total Minutes]]+7)/15,0)))</f>
        <v/>
      </c>
      <c r="T38" s="95" t="str">
        <f>IFERROR(VLOOKUP(Table8[[#This Row],[Combined]],'Optimax Rates'!D:G,4,FALSE),"")</f>
        <v/>
      </c>
      <c r="U38" s="95" t="str">
        <f>IF(Table8[[#This Row],[Rate]]="","",Table8[[#This Row],[Units]]*Table8[[#This Row],[Rate]])</f>
        <v/>
      </c>
      <c r="V38" s="154"/>
      <c r="W38" s="154"/>
      <c r="X38" s="154"/>
    </row>
    <row r="39" spans="1:25" ht="13.5" hidden="1" thickBot="1">
      <c r="A39" s="19"/>
      <c r="B39" s="16"/>
      <c r="C39" s="70"/>
      <c r="D39" s="1"/>
      <c r="E39" s="2"/>
      <c r="F39" s="2"/>
      <c r="G39" s="96">
        <f t="shared" ref="G39:G70" si="1">$D$3</f>
        <v>0</v>
      </c>
      <c r="H39" t="str">
        <f>Table8[[#This Row],[Program Code]]&amp;Table8[[#This Row],[Approved Service Provided]]&amp;Table8[[#This Row],[County of Service]]</f>
        <v/>
      </c>
      <c r="I39" t="str">
        <f>IF(Table8[[#This Row],[Waiver]]="State SLS", "8", IF(Table8[[#This Row],[Waiver]]="OBRA", "9", ""))</f>
        <v/>
      </c>
      <c r="J39" t="str">
        <f>IFERROR(VLOOKUP(Table8[[#This Row],[Combined]],'Optimax Rates'!D:E,2,FALSE),"")</f>
        <v/>
      </c>
      <c r="K39" t="str">
        <f>TEXT(Table8[[#This Row],[Date of Service]],"m/dd/yyyy ")&amp;" "&amp;TEXT(Table8[[#This Row],[Time In HH:MM AM/PM]],"hh:mm")</f>
        <v>1/00/1900  00:00</v>
      </c>
      <c r="L39" t="str">
        <f>TEXT(Table8[[#This Row],[Date of Service]],"m/dd/yyyy ")&amp;" "&amp;TEXT(Table8[[#This Row],[Time Out HH:MM AM/PM]],"hh:mm")</f>
        <v>1/00/1900  00:00</v>
      </c>
      <c r="M39" t="b" cm="1">
        <f t="array" ref="M39">SUMPRODUCT((Table8[[#This Row],[Formula3]]&lt;$L$7:$L$70)*(Table8[[#This Row],[Formula4]]&gt;=$K$7:$K$70))&gt;1</f>
        <v>0</v>
      </c>
      <c r="N39" s="92">
        <f>Table8[[#This Row],[Time Out HH:MM AM/PM]]-Table8[[#This Row],[Time In HH:MM AM/PM]]</f>
        <v>0</v>
      </c>
      <c r="O39" s="93" t="str">
        <f>TEXT(Table8[[#This Row],[Formula 1]],"HH:MM")</f>
        <v>00:00</v>
      </c>
      <c r="P39" s="93" t="str">
        <f>LEFT(Table8[[#This Row],[Formula 2]],SEARCH(":",Table8[[#This Row],[Formula 2]])-1)</f>
        <v>00</v>
      </c>
      <c r="Q39" s="93" t="str">
        <f>RIGHT(Table8[[#This Row],[Formula 2]],SEARCH(":",Table8[[#This Row],[Formula 2]])-1)</f>
        <v>00</v>
      </c>
      <c r="R39" s="93">
        <f>Table8[[#This Row],[Hours]]*60+Table8[[#This Row],[Minutes]]</f>
        <v>0</v>
      </c>
      <c r="S39" s="94" t="str">
        <f>IF(ISBLANK(Table8[[#This Row],[Approved Service Provided]]),"",IF(OR(Table8[[#This Row],[Formula2]]="DAYS",Table8[[#This Row],[Formula2]]="TRIP"),1,ROUNDDOWN((Table8[[#This Row],[Total Minutes]]+7)/15,0)))</f>
        <v/>
      </c>
      <c r="T39" s="95" t="str">
        <f>IFERROR(VLOOKUP(Table8[[#This Row],[Combined]],'Optimax Rates'!D:G,4,FALSE),"")</f>
        <v/>
      </c>
      <c r="U39" s="95" t="str">
        <f>IF(Table8[[#This Row],[Rate]]="","",Table8[[#This Row],[Units]]*Table8[[#This Row],[Rate]])</f>
        <v/>
      </c>
      <c r="V39" s="154"/>
      <c r="W39" s="154"/>
      <c r="X39" s="154"/>
    </row>
    <row r="40" spans="1:25" ht="13.5" hidden="1" thickBot="1">
      <c r="A40" s="19"/>
      <c r="B40" s="16"/>
      <c r="C40" s="70"/>
      <c r="D40" s="1"/>
      <c r="E40" s="2"/>
      <c r="F40" s="2"/>
      <c r="G40" s="96">
        <f t="shared" si="1"/>
        <v>0</v>
      </c>
      <c r="H40" t="str">
        <f>Table8[[#This Row],[Program Code]]&amp;Table8[[#This Row],[Approved Service Provided]]&amp;Table8[[#This Row],[County of Service]]</f>
        <v/>
      </c>
      <c r="I40" t="str">
        <f>IF(Table8[[#This Row],[Waiver]]="State SLS", "8", IF(Table8[[#This Row],[Waiver]]="OBRA", "9", ""))</f>
        <v/>
      </c>
      <c r="J40" t="str">
        <f>IFERROR(VLOOKUP(Table8[[#This Row],[Combined]],'Optimax Rates'!D:E,2,FALSE),"")</f>
        <v/>
      </c>
      <c r="K40" t="str">
        <f>TEXT(Table8[[#This Row],[Date of Service]],"m/dd/yyyy ")&amp;" "&amp;TEXT(Table8[[#This Row],[Time In HH:MM AM/PM]],"hh:mm")</f>
        <v>1/00/1900  00:00</v>
      </c>
      <c r="L40" t="str">
        <f>TEXT(Table8[[#This Row],[Date of Service]],"m/dd/yyyy ")&amp;" "&amp;TEXT(Table8[[#This Row],[Time Out HH:MM AM/PM]],"hh:mm")</f>
        <v>1/00/1900  00:00</v>
      </c>
      <c r="M40" t="b" cm="1">
        <f t="array" ref="M40">SUMPRODUCT((Table8[[#This Row],[Formula3]]&lt;$L$7:$L$70)*(Table8[[#This Row],[Formula4]]&gt;=$K$7:$K$70))&gt;1</f>
        <v>0</v>
      </c>
      <c r="N40" s="92">
        <f>Table8[[#This Row],[Time Out HH:MM AM/PM]]-Table8[[#This Row],[Time In HH:MM AM/PM]]</f>
        <v>0</v>
      </c>
      <c r="O40" s="93" t="str">
        <f>TEXT(Table8[[#This Row],[Formula 1]],"HH:MM")</f>
        <v>00:00</v>
      </c>
      <c r="P40" s="93" t="str">
        <f>LEFT(Table8[[#This Row],[Formula 2]],SEARCH(":",Table8[[#This Row],[Formula 2]])-1)</f>
        <v>00</v>
      </c>
      <c r="Q40" s="93" t="str">
        <f>RIGHT(Table8[[#This Row],[Formula 2]],SEARCH(":",Table8[[#This Row],[Formula 2]])-1)</f>
        <v>00</v>
      </c>
      <c r="R40" s="93">
        <f>Table8[[#This Row],[Hours]]*60+Table8[[#This Row],[Minutes]]</f>
        <v>0</v>
      </c>
      <c r="S40" s="94" t="str">
        <f>IF(ISBLANK(Table8[[#This Row],[Approved Service Provided]]),"",IF(OR(Table8[[#This Row],[Formula2]]="DAYS",Table8[[#This Row],[Formula2]]="TRIP"),1,ROUNDDOWN((Table8[[#This Row],[Total Minutes]]+7)/15,0)))</f>
        <v/>
      </c>
      <c r="T40" s="95" t="str">
        <f>IFERROR(VLOOKUP(Table8[[#This Row],[Combined]],'Optimax Rates'!D:G,4,FALSE),"")</f>
        <v/>
      </c>
      <c r="U40" s="95" t="str">
        <f>IF(Table8[[#This Row],[Rate]]="","",Table8[[#This Row],[Units]]*Table8[[#This Row],[Rate]])</f>
        <v/>
      </c>
      <c r="V40" s="154"/>
      <c r="W40" s="154"/>
      <c r="X40" s="154"/>
    </row>
    <row r="41" spans="1:25" ht="13.5" hidden="1" thickBot="1">
      <c r="A41" s="19"/>
      <c r="B41" s="17"/>
      <c r="C41" s="161"/>
      <c r="D41" s="1"/>
      <c r="E41" s="2"/>
      <c r="F41" s="2"/>
      <c r="G41" s="96">
        <f t="shared" si="1"/>
        <v>0</v>
      </c>
      <c r="H41" t="str">
        <f>Table8[[#This Row],[Program Code]]&amp;Table8[[#This Row],[Approved Service Provided]]&amp;Table8[[#This Row],[County of Service]]</f>
        <v/>
      </c>
      <c r="I41" t="str">
        <f>IF(Table8[[#This Row],[Waiver]]="State SLS", "8", IF(Table8[[#This Row],[Waiver]]="OBRA", "9", ""))</f>
        <v/>
      </c>
      <c r="J41" t="str">
        <f>IFERROR(VLOOKUP(Table8[[#This Row],[Combined]],'Optimax Rates'!D:E,2,FALSE),"")</f>
        <v/>
      </c>
      <c r="K41" t="str">
        <f>TEXT(Table8[[#This Row],[Date of Service]],"m/dd/yyyy ")&amp;" "&amp;TEXT(Table8[[#This Row],[Time In HH:MM AM/PM]],"hh:mm")</f>
        <v>1/00/1900  00:00</v>
      </c>
      <c r="L41" t="str">
        <f>TEXT(Table8[[#This Row],[Date of Service]],"m/dd/yyyy ")&amp;" "&amp;TEXT(Table8[[#This Row],[Time Out HH:MM AM/PM]],"hh:mm")</f>
        <v>1/00/1900  00:00</v>
      </c>
      <c r="M41" t="b" cm="1">
        <f t="array" ref="M41">SUMPRODUCT((Table8[[#This Row],[Formula3]]&lt;$L$7:$L$70)*(Table8[[#This Row],[Formula4]]&gt;=$K$7:$K$70))&gt;1</f>
        <v>0</v>
      </c>
      <c r="N41" s="92">
        <f>Table8[[#This Row],[Time Out HH:MM AM/PM]]-Table8[[#This Row],[Time In HH:MM AM/PM]]</f>
        <v>0</v>
      </c>
      <c r="O41" s="93" t="str">
        <f>TEXT(Table8[[#This Row],[Formula 1]],"HH:MM")</f>
        <v>00:00</v>
      </c>
      <c r="P41" s="93" t="str">
        <f>LEFT(Table8[[#This Row],[Formula 2]],SEARCH(":",Table8[[#This Row],[Formula 2]])-1)</f>
        <v>00</v>
      </c>
      <c r="Q41" s="93" t="str">
        <f>RIGHT(Table8[[#This Row],[Formula 2]],SEARCH(":",Table8[[#This Row],[Formula 2]])-1)</f>
        <v>00</v>
      </c>
      <c r="R41" s="93">
        <f>Table8[[#This Row],[Hours]]*60+Table8[[#This Row],[Minutes]]</f>
        <v>0</v>
      </c>
      <c r="S41" s="94" t="str">
        <f>IF(ISBLANK(Table8[[#This Row],[Approved Service Provided]]),"",IF(OR(Table8[[#This Row],[Formula2]]="DAYS",Table8[[#This Row],[Formula2]]="TRIP"),1,ROUNDDOWN((Table8[[#This Row],[Total Minutes]]+7)/15,0)))</f>
        <v/>
      </c>
      <c r="T41" s="95" t="str">
        <f>IFERROR(VLOOKUP(Table8[[#This Row],[Combined]],'Optimax Rates'!D:G,4,FALSE),"")</f>
        <v/>
      </c>
      <c r="U41" s="95" t="str">
        <f>IF(Table8[[#This Row],[Rate]]="","",Table8[[#This Row],[Units]]*Table8[[#This Row],[Rate]])</f>
        <v/>
      </c>
      <c r="V41" s="154"/>
      <c r="W41" s="154"/>
      <c r="X41" s="154"/>
    </row>
    <row r="42" spans="1:25" ht="13.5" hidden="1" thickBot="1">
      <c r="A42" s="19"/>
      <c r="B42" s="16"/>
      <c r="C42" s="70"/>
      <c r="D42" s="1"/>
      <c r="E42" s="2"/>
      <c r="F42" s="2"/>
      <c r="G42" s="96">
        <f t="shared" si="1"/>
        <v>0</v>
      </c>
      <c r="H42" t="str">
        <f>Table8[[#This Row],[Program Code]]&amp;Table8[[#This Row],[Approved Service Provided]]&amp;Table8[[#This Row],[County of Service]]</f>
        <v/>
      </c>
      <c r="I42" t="str">
        <f>IF(Table8[[#This Row],[Waiver]]="State SLS", "8", IF(Table8[[#This Row],[Waiver]]="OBRA", "9", ""))</f>
        <v/>
      </c>
      <c r="J42" t="str">
        <f>IFERROR(VLOOKUP(Table8[[#This Row],[Combined]],'Optimax Rates'!D:E,2,FALSE),"")</f>
        <v/>
      </c>
      <c r="K42" t="str">
        <f>TEXT(Table8[[#This Row],[Date of Service]],"m/dd/yyyy ")&amp;" "&amp;TEXT(Table8[[#This Row],[Time In HH:MM AM/PM]],"hh:mm")</f>
        <v>1/00/1900  00:00</v>
      </c>
      <c r="L42" t="str">
        <f>TEXT(Table8[[#This Row],[Date of Service]],"m/dd/yyyy ")&amp;" "&amp;TEXT(Table8[[#This Row],[Time Out HH:MM AM/PM]],"hh:mm")</f>
        <v>1/00/1900  00:00</v>
      </c>
      <c r="M42" t="b" cm="1">
        <f t="array" ref="M42">SUMPRODUCT((Table8[[#This Row],[Formula3]]&lt;$L$7:$L$70)*(Table8[[#This Row],[Formula4]]&gt;=$K$7:$K$70))&gt;1</f>
        <v>0</v>
      </c>
      <c r="N42" s="92">
        <f>Table8[[#This Row],[Time Out HH:MM AM/PM]]-Table8[[#This Row],[Time In HH:MM AM/PM]]</f>
        <v>0</v>
      </c>
      <c r="O42" s="93" t="str">
        <f>TEXT(Table8[[#This Row],[Formula 1]],"HH:MM")</f>
        <v>00:00</v>
      </c>
      <c r="P42" s="93" t="str">
        <f>LEFT(Table8[[#This Row],[Formula 2]],SEARCH(":",Table8[[#This Row],[Formula 2]])-1)</f>
        <v>00</v>
      </c>
      <c r="Q42" s="93" t="str">
        <f>RIGHT(Table8[[#This Row],[Formula 2]],SEARCH(":",Table8[[#This Row],[Formula 2]])-1)</f>
        <v>00</v>
      </c>
      <c r="R42" s="93">
        <f>Table8[[#This Row],[Hours]]*60+Table8[[#This Row],[Minutes]]</f>
        <v>0</v>
      </c>
      <c r="S42" s="94" t="str">
        <f>IF(ISBLANK(Table8[[#This Row],[Approved Service Provided]]),"",IF(OR(Table8[[#This Row],[Formula2]]="DAYS",Table8[[#This Row],[Formula2]]="TRIP"),1,ROUNDDOWN((Table8[[#This Row],[Total Minutes]]+7)/15,0)))</f>
        <v/>
      </c>
      <c r="T42" s="95" t="str">
        <f>IFERROR(VLOOKUP(Table8[[#This Row],[Combined]],'Optimax Rates'!D:G,4,FALSE),"")</f>
        <v/>
      </c>
      <c r="U42" s="95" t="str">
        <f>IF(Table8[[#This Row],[Rate]]="","",Table8[[#This Row],[Units]]*Table8[[#This Row],[Rate]])</f>
        <v/>
      </c>
      <c r="V42" s="154"/>
      <c r="W42" s="154"/>
      <c r="X42" s="154"/>
    </row>
    <row r="43" spans="1:25" ht="13.5" hidden="1" thickBot="1">
      <c r="A43" s="19"/>
      <c r="B43" s="16"/>
      <c r="C43" s="70"/>
      <c r="D43" s="1"/>
      <c r="E43" s="2"/>
      <c r="F43" s="2"/>
      <c r="G43" s="96">
        <f t="shared" si="1"/>
        <v>0</v>
      </c>
      <c r="H43" t="str">
        <f>Table8[[#This Row],[Program Code]]&amp;Table8[[#This Row],[Approved Service Provided]]&amp;Table8[[#This Row],[County of Service]]</f>
        <v/>
      </c>
      <c r="I43" t="str">
        <f>IF(Table8[[#This Row],[Waiver]]="State SLS", "8", IF(Table8[[#This Row],[Waiver]]="OBRA", "9", ""))</f>
        <v/>
      </c>
      <c r="J43" t="str">
        <f>IFERROR(VLOOKUP(Table8[[#This Row],[Combined]],'Optimax Rates'!D:E,2,FALSE),"")</f>
        <v/>
      </c>
      <c r="K43" t="str">
        <f>TEXT(Table8[[#This Row],[Date of Service]],"m/dd/yyyy ")&amp;" "&amp;TEXT(Table8[[#This Row],[Time In HH:MM AM/PM]],"hh:mm")</f>
        <v>1/00/1900  00:00</v>
      </c>
      <c r="L43" t="str">
        <f>TEXT(Table8[[#This Row],[Date of Service]],"m/dd/yyyy ")&amp;" "&amp;TEXT(Table8[[#This Row],[Time Out HH:MM AM/PM]],"hh:mm")</f>
        <v>1/00/1900  00:00</v>
      </c>
      <c r="M43" t="b" cm="1">
        <f t="array" ref="M43">SUMPRODUCT((Table8[[#This Row],[Formula3]]&lt;$L$7:$L$70)*(Table8[[#This Row],[Formula4]]&gt;=$K$7:$K$70))&gt;1</f>
        <v>0</v>
      </c>
      <c r="N43" s="92">
        <f>Table8[[#This Row],[Time Out HH:MM AM/PM]]-Table8[[#This Row],[Time In HH:MM AM/PM]]</f>
        <v>0</v>
      </c>
      <c r="O43" s="93" t="str">
        <f>TEXT(Table8[[#This Row],[Formula 1]],"HH:MM")</f>
        <v>00:00</v>
      </c>
      <c r="P43" s="93" t="str">
        <f>LEFT(Table8[[#This Row],[Formula 2]],SEARCH(":",Table8[[#This Row],[Formula 2]])-1)</f>
        <v>00</v>
      </c>
      <c r="Q43" s="93" t="str">
        <f>RIGHT(Table8[[#This Row],[Formula 2]],SEARCH(":",Table8[[#This Row],[Formula 2]])-1)</f>
        <v>00</v>
      </c>
      <c r="R43" s="93">
        <f>Table8[[#This Row],[Hours]]*60+Table8[[#This Row],[Minutes]]</f>
        <v>0</v>
      </c>
      <c r="S43" s="94" t="str">
        <f>IF(ISBLANK(Table8[[#This Row],[Approved Service Provided]]),"",IF(OR(Table8[[#This Row],[Formula2]]="DAYS",Table8[[#This Row],[Formula2]]="TRIP"),1,ROUNDDOWN((Table8[[#This Row],[Total Minutes]]+7)/15,0)))</f>
        <v/>
      </c>
      <c r="T43" s="95" t="str">
        <f>IFERROR(VLOOKUP(Table8[[#This Row],[Combined]],'Optimax Rates'!D:G,4,FALSE),"")</f>
        <v/>
      </c>
      <c r="U43" s="95" t="str">
        <f>IF(Table8[[#This Row],[Rate]]="","",Table8[[#This Row],[Units]]*Table8[[#This Row],[Rate]])</f>
        <v/>
      </c>
      <c r="V43" s="154"/>
      <c r="W43" s="154"/>
      <c r="X43" s="154"/>
    </row>
    <row r="44" spans="1:25" ht="13.5" hidden="1" thickBot="1">
      <c r="A44" s="19"/>
      <c r="B44" s="16"/>
      <c r="C44" s="70"/>
      <c r="D44" s="1"/>
      <c r="E44" s="2"/>
      <c r="F44" s="2"/>
      <c r="G44" s="96">
        <f t="shared" si="1"/>
        <v>0</v>
      </c>
      <c r="H44" t="str">
        <f>Table8[[#This Row],[Program Code]]&amp;Table8[[#This Row],[Approved Service Provided]]&amp;Table8[[#This Row],[County of Service]]</f>
        <v/>
      </c>
      <c r="I44" t="str">
        <f>IF(Table8[[#This Row],[Waiver]]="State SLS", "8", IF(Table8[[#This Row],[Waiver]]="OBRA", "9", ""))</f>
        <v/>
      </c>
      <c r="J44" t="str">
        <f>IFERROR(VLOOKUP(Table8[[#This Row],[Combined]],'Optimax Rates'!D:E,2,FALSE),"")</f>
        <v/>
      </c>
      <c r="K44" t="str">
        <f>TEXT(Table8[[#This Row],[Date of Service]],"m/dd/yyyy ")&amp;" "&amp;TEXT(Table8[[#This Row],[Time In HH:MM AM/PM]],"hh:mm")</f>
        <v>1/00/1900  00:00</v>
      </c>
      <c r="L44" t="str">
        <f>TEXT(Table8[[#This Row],[Date of Service]],"m/dd/yyyy ")&amp;" "&amp;TEXT(Table8[[#This Row],[Time Out HH:MM AM/PM]],"hh:mm")</f>
        <v>1/00/1900  00:00</v>
      </c>
      <c r="M44" t="b" cm="1">
        <f t="array" ref="M44">SUMPRODUCT((Table8[[#This Row],[Formula3]]&lt;$L$7:$L$70)*(Table8[[#This Row],[Formula4]]&gt;=$K$7:$K$70))&gt;1</f>
        <v>0</v>
      </c>
      <c r="N44" s="92">
        <f>Table8[[#This Row],[Time Out HH:MM AM/PM]]-Table8[[#This Row],[Time In HH:MM AM/PM]]</f>
        <v>0</v>
      </c>
      <c r="O44" s="93" t="str">
        <f>TEXT(Table8[[#This Row],[Formula 1]],"HH:MM")</f>
        <v>00:00</v>
      </c>
      <c r="P44" s="93" t="str">
        <f>LEFT(Table8[[#This Row],[Formula 2]],SEARCH(":",Table8[[#This Row],[Formula 2]])-1)</f>
        <v>00</v>
      </c>
      <c r="Q44" s="93" t="str">
        <f>RIGHT(Table8[[#This Row],[Formula 2]],SEARCH(":",Table8[[#This Row],[Formula 2]])-1)</f>
        <v>00</v>
      </c>
      <c r="R44" s="93">
        <f>Table8[[#This Row],[Hours]]*60+Table8[[#This Row],[Minutes]]</f>
        <v>0</v>
      </c>
      <c r="S44" s="94" t="str">
        <f>IF(ISBLANK(Table8[[#This Row],[Approved Service Provided]]),"",IF(OR(Table8[[#This Row],[Formula2]]="DAYS",Table8[[#This Row],[Formula2]]="TRIP"),1,ROUNDDOWN((Table8[[#This Row],[Total Minutes]]+7)/15,0)))</f>
        <v/>
      </c>
      <c r="T44" s="95" t="str">
        <f>IFERROR(VLOOKUP(Table8[[#This Row],[Combined]],'Optimax Rates'!D:G,4,FALSE),"")</f>
        <v/>
      </c>
      <c r="U44" s="95" t="str">
        <f>IF(Table8[[#This Row],[Rate]]="","",Table8[[#This Row],[Units]]*Table8[[#This Row],[Rate]])</f>
        <v/>
      </c>
      <c r="V44" s="154"/>
      <c r="W44" s="154"/>
      <c r="X44" s="154"/>
    </row>
    <row r="45" spans="1:25" ht="13.5" hidden="1" thickBot="1">
      <c r="A45" s="19"/>
      <c r="B45" s="16"/>
      <c r="C45" s="70"/>
      <c r="D45" s="1"/>
      <c r="E45" s="2"/>
      <c r="F45" s="2"/>
      <c r="G45" s="96">
        <f t="shared" si="1"/>
        <v>0</v>
      </c>
      <c r="H45" t="str">
        <f>Table8[[#This Row],[Program Code]]&amp;Table8[[#This Row],[Approved Service Provided]]&amp;Table8[[#This Row],[County of Service]]</f>
        <v/>
      </c>
      <c r="I45" t="str">
        <f>IF(Table8[[#This Row],[Waiver]]="State SLS", "8", IF(Table8[[#This Row],[Waiver]]="OBRA", "9", ""))</f>
        <v/>
      </c>
      <c r="J45" t="str">
        <f>IFERROR(VLOOKUP(Table8[[#This Row],[Combined]],'Optimax Rates'!D:E,2,FALSE),"")</f>
        <v/>
      </c>
      <c r="K45" t="str">
        <f>TEXT(Table8[[#This Row],[Date of Service]],"m/dd/yyyy ")&amp;" "&amp;TEXT(Table8[[#This Row],[Time In HH:MM AM/PM]],"hh:mm")</f>
        <v>1/00/1900  00:00</v>
      </c>
      <c r="L45" t="str">
        <f>TEXT(Table8[[#This Row],[Date of Service]],"m/dd/yyyy ")&amp;" "&amp;TEXT(Table8[[#This Row],[Time Out HH:MM AM/PM]],"hh:mm")</f>
        <v>1/00/1900  00:00</v>
      </c>
      <c r="M45" t="b" cm="1">
        <f t="array" ref="M45">SUMPRODUCT((Table8[[#This Row],[Formula3]]&lt;$L$7:$L$70)*(Table8[[#This Row],[Formula4]]&gt;=$K$7:$K$70))&gt;1</f>
        <v>0</v>
      </c>
      <c r="N45" s="92">
        <f>Table8[[#This Row],[Time Out HH:MM AM/PM]]-Table8[[#This Row],[Time In HH:MM AM/PM]]</f>
        <v>0</v>
      </c>
      <c r="O45" s="93" t="str">
        <f>TEXT(Table8[[#This Row],[Formula 1]],"HH:MM")</f>
        <v>00:00</v>
      </c>
      <c r="P45" s="93" t="str">
        <f>LEFT(Table8[[#This Row],[Formula 2]],SEARCH(":",Table8[[#This Row],[Formula 2]])-1)</f>
        <v>00</v>
      </c>
      <c r="Q45" s="93" t="str">
        <f>RIGHT(Table8[[#This Row],[Formula 2]],SEARCH(":",Table8[[#This Row],[Formula 2]])-1)</f>
        <v>00</v>
      </c>
      <c r="R45" s="93">
        <f>Table8[[#This Row],[Hours]]*60+Table8[[#This Row],[Minutes]]</f>
        <v>0</v>
      </c>
      <c r="S45" s="94" t="str">
        <f>IF(ISBLANK(Table8[[#This Row],[Approved Service Provided]]),"",IF(OR(Table8[[#This Row],[Formula2]]="DAYS",Table8[[#This Row],[Formula2]]="TRIP"),1,ROUNDDOWN((Table8[[#This Row],[Total Minutes]]+7)/15,0)))</f>
        <v/>
      </c>
      <c r="T45" s="95" t="str">
        <f>IFERROR(VLOOKUP(Table8[[#This Row],[Combined]],'Optimax Rates'!D:G,4,FALSE),"")</f>
        <v/>
      </c>
      <c r="U45" s="95" t="str">
        <f>IF(Table8[[#This Row],[Rate]]="","",Table8[[#This Row],[Units]]*Table8[[#This Row],[Rate]])</f>
        <v/>
      </c>
      <c r="V45" s="154"/>
      <c r="W45" s="154"/>
      <c r="X45" s="154"/>
    </row>
    <row r="46" spans="1:25" ht="13.5" hidden="1" thickBot="1">
      <c r="A46" s="19"/>
      <c r="B46" s="16"/>
      <c r="C46" s="70"/>
      <c r="D46" s="1"/>
      <c r="E46" s="2"/>
      <c r="F46" s="2"/>
      <c r="G46" s="96">
        <f t="shared" si="1"/>
        <v>0</v>
      </c>
      <c r="H46" t="str">
        <f>Table8[[#This Row],[Program Code]]&amp;Table8[[#This Row],[Approved Service Provided]]&amp;Table8[[#This Row],[County of Service]]</f>
        <v/>
      </c>
      <c r="I46" t="str">
        <f>IF(Table8[[#This Row],[Waiver]]="State SLS", "8", IF(Table8[[#This Row],[Waiver]]="OBRA", "9", ""))</f>
        <v/>
      </c>
      <c r="J46" t="str">
        <f>IFERROR(VLOOKUP(Table8[[#This Row],[Combined]],'Optimax Rates'!D:E,2,FALSE),"")</f>
        <v/>
      </c>
      <c r="K46" t="str">
        <f>TEXT(Table8[[#This Row],[Date of Service]],"m/dd/yyyy ")&amp;" "&amp;TEXT(Table8[[#This Row],[Time In HH:MM AM/PM]],"hh:mm")</f>
        <v>1/00/1900  00:00</v>
      </c>
      <c r="L46" t="str">
        <f>TEXT(Table8[[#This Row],[Date of Service]],"m/dd/yyyy ")&amp;" "&amp;TEXT(Table8[[#This Row],[Time Out HH:MM AM/PM]],"hh:mm")</f>
        <v>1/00/1900  00:00</v>
      </c>
      <c r="M46" t="b" cm="1">
        <f t="array" ref="M46">SUMPRODUCT((Table8[[#This Row],[Formula3]]&lt;$L$7:$L$70)*(Table8[[#This Row],[Formula4]]&gt;=$K$7:$K$70))&gt;1</f>
        <v>0</v>
      </c>
      <c r="N46" s="92">
        <f>Table8[[#This Row],[Time Out HH:MM AM/PM]]-Table8[[#This Row],[Time In HH:MM AM/PM]]</f>
        <v>0</v>
      </c>
      <c r="O46" s="93" t="str">
        <f>TEXT(Table8[[#This Row],[Formula 1]],"HH:MM")</f>
        <v>00:00</v>
      </c>
      <c r="P46" s="93" t="str">
        <f>LEFT(Table8[[#This Row],[Formula 2]],SEARCH(":",Table8[[#This Row],[Formula 2]])-1)</f>
        <v>00</v>
      </c>
      <c r="Q46" s="93" t="str">
        <f>RIGHT(Table8[[#This Row],[Formula 2]],SEARCH(":",Table8[[#This Row],[Formula 2]])-1)</f>
        <v>00</v>
      </c>
      <c r="R46" s="93">
        <f>Table8[[#This Row],[Hours]]*60+Table8[[#This Row],[Minutes]]</f>
        <v>0</v>
      </c>
      <c r="S46" s="94" t="str">
        <f>IF(ISBLANK(Table8[[#This Row],[Approved Service Provided]]),"",IF(OR(Table8[[#This Row],[Formula2]]="DAYS",Table8[[#This Row],[Formula2]]="TRIP"),1,ROUNDDOWN((Table8[[#This Row],[Total Minutes]]+7)/15,0)))</f>
        <v/>
      </c>
      <c r="T46" s="95" t="str">
        <f>IFERROR(VLOOKUP(Table8[[#This Row],[Combined]],'Optimax Rates'!D:G,4,FALSE),"")</f>
        <v/>
      </c>
      <c r="U46" s="95" t="str">
        <f>IF(Table8[[#This Row],[Rate]]="","",Table8[[#This Row],[Units]]*Table8[[#This Row],[Rate]])</f>
        <v/>
      </c>
      <c r="V46" s="154"/>
      <c r="W46" s="154"/>
      <c r="X46" s="154"/>
    </row>
    <row r="47" spans="1:25" ht="13.5" hidden="1" thickBot="1">
      <c r="A47" s="19"/>
      <c r="B47" s="16"/>
      <c r="C47" s="70"/>
      <c r="D47" s="1"/>
      <c r="E47" s="2"/>
      <c r="F47" s="2"/>
      <c r="G47" s="96">
        <f t="shared" si="1"/>
        <v>0</v>
      </c>
      <c r="H47" t="str">
        <f>Table8[[#This Row],[Program Code]]&amp;Table8[[#This Row],[Approved Service Provided]]&amp;Table8[[#This Row],[County of Service]]</f>
        <v/>
      </c>
      <c r="I47" t="str">
        <f>IF(Table8[[#This Row],[Waiver]]="State SLS", "8", IF(Table8[[#This Row],[Waiver]]="OBRA", "9", ""))</f>
        <v/>
      </c>
      <c r="J47" t="str">
        <f>IFERROR(VLOOKUP(Table8[[#This Row],[Combined]],'Optimax Rates'!D:E,2,FALSE),"")</f>
        <v/>
      </c>
      <c r="K47" t="str">
        <f>TEXT(Table8[[#This Row],[Date of Service]],"m/dd/yyyy ")&amp;" "&amp;TEXT(Table8[[#This Row],[Time In HH:MM AM/PM]],"hh:mm")</f>
        <v>1/00/1900  00:00</v>
      </c>
      <c r="L47" t="str">
        <f>TEXT(Table8[[#This Row],[Date of Service]],"m/dd/yyyy ")&amp;" "&amp;TEXT(Table8[[#This Row],[Time Out HH:MM AM/PM]],"hh:mm")</f>
        <v>1/00/1900  00:00</v>
      </c>
      <c r="M47" t="b" cm="1">
        <f t="array" ref="M47">SUMPRODUCT((Table8[[#This Row],[Formula3]]&lt;$L$7:$L$70)*(Table8[[#This Row],[Formula4]]&gt;=$K$7:$K$70))&gt;1</f>
        <v>0</v>
      </c>
      <c r="N47" s="92">
        <f>Table8[[#This Row],[Time Out HH:MM AM/PM]]-Table8[[#This Row],[Time In HH:MM AM/PM]]</f>
        <v>0</v>
      </c>
      <c r="O47" s="93" t="str">
        <f>TEXT(Table8[[#This Row],[Formula 1]],"HH:MM")</f>
        <v>00:00</v>
      </c>
      <c r="P47" s="93" t="str">
        <f>LEFT(Table8[[#This Row],[Formula 2]],SEARCH(":",Table8[[#This Row],[Formula 2]])-1)</f>
        <v>00</v>
      </c>
      <c r="Q47" s="93" t="str">
        <f>RIGHT(Table8[[#This Row],[Formula 2]],SEARCH(":",Table8[[#This Row],[Formula 2]])-1)</f>
        <v>00</v>
      </c>
      <c r="R47" s="93">
        <f>Table8[[#This Row],[Hours]]*60+Table8[[#This Row],[Minutes]]</f>
        <v>0</v>
      </c>
      <c r="S47" s="94" t="str">
        <f>IF(ISBLANK(Table8[[#This Row],[Approved Service Provided]]),"",IF(OR(Table8[[#This Row],[Formula2]]="DAYS",Table8[[#This Row],[Formula2]]="TRIP"),1,ROUNDDOWN((Table8[[#This Row],[Total Minutes]]+7)/15,0)))</f>
        <v/>
      </c>
      <c r="T47" s="95" t="str">
        <f>IFERROR(VLOOKUP(Table8[[#This Row],[Combined]],'Optimax Rates'!D:G,4,FALSE),"")</f>
        <v/>
      </c>
      <c r="U47" s="95" t="str">
        <f>IF(Table8[[#This Row],[Rate]]="","",Table8[[#This Row],[Units]]*Table8[[#This Row],[Rate]])</f>
        <v/>
      </c>
      <c r="V47" s="154"/>
      <c r="W47" s="154"/>
      <c r="X47" s="154"/>
    </row>
    <row r="48" spans="1:25" ht="13.5" hidden="1" thickBot="1">
      <c r="A48" s="19"/>
      <c r="B48" s="16"/>
      <c r="C48" s="70"/>
      <c r="D48" s="1"/>
      <c r="E48" s="2"/>
      <c r="F48" s="2"/>
      <c r="G48" s="96">
        <f t="shared" si="1"/>
        <v>0</v>
      </c>
      <c r="H48" t="str">
        <f>Table8[[#This Row],[Program Code]]&amp;Table8[[#This Row],[Approved Service Provided]]&amp;Table8[[#This Row],[County of Service]]</f>
        <v/>
      </c>
      <c r="I48" t="str">
        <f>IF(Table8[[#This Row],[Waiver]]="State SLS", "8", IF(Table8[[#This Row],[Waiver]]="OBRA", "9", ""))</f>
        <v/>
      </c>
      <c r="J48" t="str">
        <f>IFERROR(VLOOKUP(Table8[[#This Row],[Combined]],'Optimax Rates'!D:E,2,FALSE),"")</f>
        <v/>
      </c>
      <c r="K48" t="str">
        <f>TEXT(Table8[[#This Row],[Date of Service]],"m/dd/yyyy ")&amp;" "&amp;TEXT(Table8[[#This Row],[Time In HH:MM AM/PM]],"hh:mm")</f>
        <v>1/00/1900  00:00</v>
      </c>
      <c r="L48" t="str">
        <f>TEXT(Table8[[#This Row],[Date of Service]],"m/dd/yyyy ")&amp;" "&amp;TEXT(Table8[[#This Row],[Time Out HH:MM AM/PM]],"hh:mm")</f>
        <v>1/00/1900  00:00</v>
      </c>
      <c r="M48" t="b" cm="1">
        <f t="array" ref="M48">SUMPRODUCT((Table8[[#This Row],[Formula3]]&lt;$L$7:$L$70)*(Table8[[#This Row],[Formula4]]&gt;=$K$7:$K$70))&gt;1</f>
        <v>0</v>
      </c>
      <c r="N48" s="92">
        <f>Table8[[#This Row],[Time Out HH:MM AM/PM]]-Table8[[#This Row],[Time In HH:MM AM/PM]]</f>
        <v>0</v>
      </c>
      <c r="O48" s="93" t="str">
        <f>TEXT(Table8[[#This Row],[Formula 1]],"HH:MM")</f>
        <v>00:00</v>
      </c>
      <c r="P48" s="93" t="str">
        <f>LEFT(Table8[[#This Row],[Formula 2]],SEARCH(":",Table8[[#This Row],[Formula 2]])-1)</f>
        <v>00</v>
      </c>
      <c r="Q48" s="93" t="str">
        <f>RIGHT(Table8[[#This Row],[Formula 2]],SEARCH(":",Table8[[#This Row],[Formula 2]])-1)</f>
        <v>00</v>
      </c>
      <c r="R48" s="93">
        <f>Table8[[#This Row],[Hours]]*60+Table8[[#This Row],[Minutes]]</f>
        <v>0</v>
      </c>
      <c r="S48" s="94" t="str">
        <f>IF(ISBLANK(Table8[[#This Row],[Approved Service Provided]]),"",IF(OR(Table8[[#This Row],[Formula2]]="DAYS",Table8[[#This Row],[Formula2]]="TRIP"),1,ROUNDDOWN((Table8[[#This Row],[Total Minutes]]+7)/15,0)))</f>
        <v/>
      </c>
      <c r="T48" s="95" t="str">
        <f>IFERROR(VLOOKUP(Table8[[#This Row],[Combined]],'Optimax Rates'!D:G,4,FALSE),"")</f>
        <v/>
      </c>
      <c r="U48" s="95" t="str">
        <f>IF(Table8[[#This Row],[Rate]]="","",Table8[[#This Row],[Units]]*Table8[[#This Row],[Rate]])</f>
        <v/>
      </c>
      <c r="V48" s="154"/>
      <c r="W48" s="154"/>
      <c r="X48" s="154"/>
    </row>
    <row r="49" spans="1:24" ht="13.5" hidden="1" thickBot="1">
      <c r="A49" s="19"/>
      <c r="B49" s="16"/>
      <c r="C49" s="70"/>
      <c r="D49" s="1"/>
      <c r="E49" s="2"/>
      <c r="F49" s="2"/>
      <c r="G49" s="96">
        <f t="shared" si="1"/>
        <v>0</v>
      </c>
      <c r="H49" t="str">
        <f>Table8[[#This Row],[Program Code]]&amp;Table8[[#This Row],[Approved Service Provided]]&amp;Table8[[#This Row],[County of Service]]</f>
        <v/>
      </c>
      <c r="I49" t="str">
        <f>IF(Table8[[#This Row],[Waiver]]="State SLS", "8", IF(Table8[[#This Row],[Waiver]]="OBRA", "9", ""))</f>
        <v/>
      </c>
      <c r="J49" t="str">
        <f>IFERROR(VLOOKUP(Table8[[#This Row],[Combined]],'Optimax Rates'!D:E,2,FALSE),"")</f>
        <v/>
      </c>
      <c r="K49" t="str">
        <f>TEXT(Table8[[#This Row],[Date of Service]],"m/dd/yyyy ")&amp;" "&amp;TEXT(Table8[[#This Row],[Time In HH:MM AM/PM]],"hh:mm")</f>
        <v>1/00/1900  00:00</v>
      </c>
      <c r="L49" t="str">
        <f>TEXT(Table8[[#This Row],[Date of Service]],"m/dd/yyyy ")&amp;" "&amp;TEXT(Table8[[#This Row],[Time Out HH:MM AM/PM]],"hh:mm")</f>
        <v>1/00/1900  00:00</v>
      </c>
      <c r="M49" t="b" cm="1">
        <f t="array" ref="M49">SUMPRODUCT((Table8[[#This Row],[Formula3]]&lt;$L$7:$L$70)*(Table8[[#This Row],[Formula4]]&gt;=$K$7:$K$70))&gt;1</f>
        <v>0</v>
      </c>
      <c r="N49" s="92">
        <f>Table8[[#This Row],[Time Out HH:MM AM/PM]]-Table8[[#This Row],[Time In HH:MM AM/PM]]</f>
        <v>0</v>
      </c>
      <c r="O49" s="93" t="str">
        <f>TEXT(Table8[[#This Row],[Formula 1]],"HH:MM")</f>
        <v>00:00</v>
      </c>
      <c r="P49" s="93" t="str">
        <f>LEFT(Table8[[#This Row],[Formula 2]],SEARCH(":",Table8[[#This Row],[Formula 2]])-1)</f>
        <v>00</v>
      </c>
      <c r="Q49" s="93" t="str">
        <f>RIGHT(Table8[[#This Row],[Formula 2]],SEARCH(":",Table8[[#This Row],[Formula 2]])-1)</f>
        <v>00</v>
      </c>
      <c r="R49" s="93">
        <f>Table8[[#This Row],[Hours]]*60+Table8[[#This Row],[Minutes]]</f>
        <v>0</v>
      </c>
      <c r="S49" s="94" t="str">
        <f>IF(ISBLANK(Table8[[#This Row],[Approved Service Provided]]),"",IF(OR(Table8[[#This Row],[Formula2]]="DAYS",Table8[[#This Row],[Formula2]]="TRIP"),1,ROUNDDOWN((Table8[[#This Row],[Total Minutes]]+7)/15,0)))</f>
        <v/>
      </c>
      <c r="T49" s="95" t="str">
        <f>IFERROR(VLOOKUP(Table8[[#This Row],[Combined]],'Optimax Rates'!D:G,4,FALSE),"")</f>
        <v/>
      </c>
      <c r="U49" s="95" t="str">
        <f>IF(Table8[[#This Row],[Rate]]="","",Table8[[#This Row],[Units]]*Table8[[#This Row],[Rate]])</f>
        <v/>
      </c>
      <c r="V49" s="154"/>
      <c r="W49" s="154"/>
      <c r="X49" s="154"/>
    </row>
    <row r="50" spans="1:24" ht="13.5" hidden="1" thickBot="1">
      <c r="A50" s="19"/>
      <c r="B50" s="16"/>
      <c r="C50" s="70"/>
      <c r="D50" s="1"/>
      <c r="E50" s="2"/>
      <c r="F50" s="2"/>
      <c r="G50" s="96">
        <f t="shared" si="1"/>
        <v>0</v>
      </c>
      <c r="H50" t="str">
        <f>Table8[[#This Row],[Program Code]]&amp;Table8[[#This Row],[Approved Service Provided]]&amp;Table8[[#This Row],[County of Service]]</f>
        <v/>
      </c>
      <c r="I50" t="str">
        <f>IF(Table8[[#This Row],[Waiver]]="State SLS", "8", IF(Table8[[#This Row],[Waiver]]="OBRA", "9", ""))</f>
        <v/>
      </c>
      <c r="J50" t="str">
        <f>IFERROR(VLOOKUP(Table8[[#This Row],[Combined]],'Optimax Rates'!D:E,2,FALSE),"")</f>
        <v/>
      </c>
      <c r="K50" t="str">
        <f>TEXT(Table8[[#This Row],[Date of Service]],"m/dd/yyyy ")&amp;" "&amp;TEXT(Table8[[#This Row],[Time In HH:MM AM/PM]],"hh:mm")</f>
        <v>1/00/1900  00:00</v>
      </c>
      <c r="L50" t="str">
        <f>TEXT(Table8[[#This Row],[Date of Service]],"m/dd/yyyy ")&amp;" "&amp;TEXT(Table8[[#This Row],[Time Out HH:MM AM/PM]],"hh:mm")</f>
        <v>1/00/1900  00:00</v>
      </c>
      <c r="M50" t="b" cm="1">
        <f t="array" ref="M50">SUMPRODUCT((Table8[[#This Row],[Formula3]]&lt;$L$7:$L$70)*(Table8[[#This Row],[Formula4]]&gt;=$K$7:$K$70))&gt;1</f>
        <v>0</v>
      </c>
      <c r="N50" s="92">
        <f>Table8[[#This Row],[Time Out HH:MM AM/PM]]-Table8[[#This Row],[Time In HH:MM AM/PM]]</f>
        <v>0</v>
      </c>
      <c r="O50" s="93" t="str">
        <f>TEXT(Table8[[#This Row],[Formula 1]],"HH:MM")</f>
        <v>00:00</v>
      </c>
      <c r="P50" s="93" t="str">
        <f>LEFT(Table8[[#This Row],[Formula 2]],SEARCH(":",Table8[[#This Row],[Formula 2]])-1)</f>
        <v>00</v>
      </c>
      <c r="Q50" s="93" t="str">
        <f>RIGHT(Table8[[#This Row],[Formula 2]],SEARCH(":",Table8[[#This Row],[Formula 2]])-1)</f>
        <v>00</v>
      </c>
      <c r="R50" s="93">
        <f>Table8[[#This Row],[Hours]]*60+Table8[[#This Row],[Minutes]]</f>
        <v>0</v>
      </c>
      <c r="S50" s="94" t="str">
        <f>IF(ISBLANK(Table8[[#This Row],[Approved Service Provided]]),"",IF(OR(Table8[[#This Row],[Formula2]]="DAYS",Table8[[#This Row],[Formula2]]="TRIP"),1,ROUNDDOWN((Table8[[#This Row],[Total Minutes]]+7)/15,0)))</f>
        <v/>
      </c>
      <c r="T50" s="95" t="str">
        <f>IFERROR(VLOOKUP(Table8[[#This Row],[Combined]],'Optimax Rates'!D:G,4,FALSE),"")</f>
        <v/>
      </c>
      <c r="U50" s="95" t="str">
        <f>IF(Table8[[#This Row],[Rate]]="","",Table8[[#This Row],[Units]]*Table8[[#This Row],[Rate]])</f>
        <v/>
      </c>
      <c r="V50" s="154"/>
      <c r="W50" s="154"/>
      <c r="X50" s="154"/>
    </row>
    <row r="51" spans="1:24" ht="13.5" hidden="1" thickBot="1">
      <c r="A51" s="19"/>
      <c r="B51" s="16"/>
      <c r="C51" s="70"/>
      <c r="D51" s="1"/>
      <c r="E51" s="2"/>
      <c r="F51" s="2"/>
      <c r="G51" s="96">
        <f t="shared" si="1"/>
        <v>0</v>
      </c>
      <c r="H51" t="str">
        <f>Table8[[#This Row],[Program Code]]&amp;Table8[[#This Row],[Approved Service Provided]]&amp;Table8[[#This Row],[County of Service]]</f>
        <v/>
      </c>
      <c r="I51" t="str">
        <f>IF(Table8[[#This Row],[Waiver]]="State SLS", "8", IF(Table8[[#This Row],[Waiver]]="OBRA", "9", ""))</f>
        <v/>
      </c>
      <c r="J51" t="str">
        <f>IFERROR(VLOOKUP(Table8[[#This Row],[Combined]],'Optimax Rates'!D:E,2,FALSE),"")</f>
        <v/>
      </c>
      <c r="K51" t="str">
        <f>TEXT(Table8[[#This Row],[Date of Service]],"m/dd/yyyy ")&amp;" "&amp;TEXT(Table8[[#This Row],[Time In HH:MM AM/PM]],"hh:mm")</f>
        <v>1/00/1900  00:00</v>
      </c>
      <c r="L51" t="str">
        <f>TEXT(Table8[[#This Row],[Date of Service]],"m/dd/yyyy ")&amp;" "&amp;TEXT(Table8[[#This Row],[Time Out HH:MM AM/PM]],"hh:mm")</f>
        <v>1/00/1900  00:00</v>
      </c>
      <c r="M51" t="b" cm="1">
        <f t="array" ref="M51">SUMPRODUCT((Table8[[#This Row],[Formula3]]&lt;$L$7:$L$70)*(Table8[[#This Row],[Formula4]]&gt;=$K$7:$K$70))&gt;1</f>
        <v>0</v>
      </c>
      <c r="N51" s="92">
        <f>Table8[[#This Row],[Time Out HH:MM AM/PM]]-Table8[[#This Row],[Time In HH:MM AM/PM]]</f>
        <v>0</v>
      </c>
      <c r="O51" s="93" t="str">
        <f>TEXT(Table8[[#This Row],[Formula 1]],"HH:MM")</f>
        <v>00:00</v>
      </c>
      <c r="P51" s="93" t="str">
        <f>LEFT(Table8[[#This Row],[Formula 2]],SEARCH(":",Table8[[#This Row],[Formula 2]])-1)</f>
        <v>00</v>
      </c>
      <c r="Q51" s="93" t="str">
        <f>RIGHT(Table8[[#This Row],[Formula 2]],SEARCH(":",Table8[[#This Row],[Formula 2]])-1)</f>
        <v>00</v>
      </c>
      <c r="R51" s="93">
        <f>Table8[[#This Row],[Hours]]*60+Table8[[#This Row],[Minutes]]</f>
        <v>0</v>
      </c>
      <c r="S51" s="94" t="str">
        <f>IF(ISBLANK(Table8[[#This Row],[Approved Service Provided]]),"",IF(OR(Table8[[#This Row],[Formula2]]="DAYS",Table8[[#This Row],[Formula2]]="TRIP"),1,ROUNDDOWN((Table8[[#This Row],[Total Minutes]]+7)/15,0)))</f>
        <v/>
      </c>
      <c r="T51" s="95" t="str">
        <f>IFERROR(VLOOKUP(Table8[[#This Row],[Combined]],'Optimax Rates'!D:G,4,FALSE),"")</f>
        <v/>
      </c>
      <c r="U51" s="95" t="str">
        <f>IF(Table8[[#This Row],[Rate]]="","",Table8[[#This Row],[Units]]*Table8[[#This Row],[Rate]])</f>
        <v/>
      </c>
      <c r="V51" s="154"/>
      <c r="W51" s="154"/>
      <c r="X51" s="154"/>
    </row>
    <row r="52" spans="1:24" ht="13.5" hidden="1" thickBot="1">
      <c r="A52" s="19"/>
      <c r="B52" s="16"/>
      <c r="C52" s="70"/>
      <c r="D52" s="1"/>
      <c r="E52" s="2"/>
      <c r="F52" s="2"/>
      <c r="G52" s="96">
        <f t="shared" si="1"/>
        <v>0</v>
      </c>
      <c r="H52" t="str">
        <f>Table8[[#This Row],[Program Code]]&amp;Table8[[#This Row],[Approved Service Provided]]&amp;Table8[[#This Row],[County of Service]]</f>
        <v/>
      </c>
      <c r="I52" t="str">
        <f>IF(Table8[[#This Row],[Waiver]]="State SLS", "8", IF(Table8[[#This Row],[Waiver]]="OBRA", "9", ""))</f>
        <v/>
      </c>
      <c r="J52" t="str">
        <f>IFERROR(VLOOKUP(Table8[[#This Row],[Combined]],'Optimax Rates'!D:E,2,FALSE),"")</f>
        <v/>
      </c>
      <c r="K52" t="str">
        <f>TEXT(Table8[[#This Row],[Date of Service]],"m/dd/yyyy ")&amp;" "&amp;TEXT(Table8[[#This Row],[Time In HH:MM AM/PM]],"hh:mm")</f>
        <v>1/00/1900  00:00</v>
      </c>
      <c r="L52" t="str">
        <f>TEXT(Table8[[#This Row],[Date of Service]],"m/dd/yyyy ")&amp;" "&amp;TEXT(Table8[[#This Row],[Time Out HH:MM AM/PM]],"hh:mm")</f>
        <v>1/00/1900  00:00</v>
      </c>
      <c r="M52" t="b" cm="1">
        <f t="array" ref="M52">SUMPRODUCT((Table8[[#This Row],[Formula3]]&lt;$L$7:$L$70)*(Table8[[#This Row],[Formula4]]&gt;=$K$7:$K$70))&gt;1</f>
        <v>0</v>
      </c>
      <c r="N52" s="92">
        <f>Table8[[#This Row],[Time Out HH:MM AM/PM]]-Table8[[#This Row],[Time In HH:MM AM/PM]]</f>
        <v>0</v>
      </c>
      <c r="O52" s="93" t="str">
        <f>TEXT(Table8[[#This Row],[Formula 1]],"HH:MM")</f>
        <v>00:00</v>
      </c>
      <c r="P52" s="93" t="str">
        <f>LEFT(Table8[[#This Row],[Formula 2]],SEARCH(":",Table8[[#This Row],[Formula 2]])-1)</f>
        <v>00</v>
      </c>
      <c r="Q52" s="93" t="str">
        <f>RIGHT(Table8[[#This Row],[Formula 2]],SEARCH(":",Table8[[#This Row],[Formula 2]])-1)</f>
        <v>00</v>
      </c>
      <c r="R52" s="93">
        <f>Table8[[#This Row],[Hours]]*60+Table8[[#This Row],[Minutes]]</f>
        <v>0</v>
      </c>
      <c r="S52" s="94" t="str">
        <f>IF(ISBLANK(Table8[[#This Row],[Approved Service Provided]]),"",IF(OR(Table8[[#This Row],[Formula2]]="DAYS",Table8[[#This Row],[Formula2]]="TRIP"),1,ROUNDDOWN((Table8[[#This Row],[Total Minutes]]+7)/15,0)))</f>
        <v/>
      </c>
      <c r="T52" s="95" t="str">
        <f>IFERROR(VLOOKUP(Table8[[#This Row],[Combined]],'Optimax Rates'!D:G,4,FALSE),"")</f>
        <v/>
      </c>
      <c r="U52" s="95" t="str">
        <f>IF(Table8[[#This Row],[Rate]]="","",Table8[[#This Row],[Units]]*Table8[[#This Row],[Rate]])</f>
        <v/>
      </c>
      <c r="V52" s="154"/>
      <c r="W52" s="154"/>
      <c r="X52" s="154"/>
    </row>
    <row r="53" spans="1:24" ht="13.5" hidden="1" thickBot="1">
      <c r="A53" s="57"/>
      <c r="B53" s="61"/>
      <c r="C53" s="157"/>
      <c r="D53" s="62"/>
      <c r="E53" s="63"/>
      <c r="F53" s="63"/>
      <c r="G53" s="96">
        <f t="shared" si="1"/>
        <v>0</v>
      </c>
      <c r="H53" t="str">
        <f>Table8[[#This Row],[Program Code]]&amp;Table8[[#This Row],[Approved Service Provided]]&amp;Table8[[#This Row],[County of Service]]</f>
        <v/>
      </c>
      <c r="I53" t="str">
        <f>IF(Table8[[#This Row],[Waiver]]="State SLS", "8", IF(Table8[[#This Row],[Waiver]]="OBRA", "9", ""))</f>
        <v/>
      </c>
      <c r="J53" t="str">
        <f>IFERROR(VLOOKUP(Table8[[#This Row],[Combined]],'Optimax Rates'!D:E,2,FALSE),"")</f>
        <v/>
      </c>
      <c r="K53" t="str">
        <f>TEXT(Table8[[#This Row],[Date of Service]],"m/dd/yyyy ")&amp;" "&amp;TEXT(Table8[[#This Row],[Time In HH:MM AM/PM]],"hh:mm")</f>
        <v>1/00/1900  00:00</v>
      </c>
      <c r="L53" t="str">
        <f>TEXT(Table8[[#This Row],[Date of Service]],"m/dd/yyyy ")&amp;" "&amp;TEXT(Table8[[#This Row],[Time Out HH:MM AM/PM]],"hh:mm")</f>
        <v>1/00/1900  00:00</v>
      </c>
      <c r="M53" t="b" cm="1">
        <f t="array" ref="M53">SUMPRODUCT((Table8[[#This Row],[Formula3]]&lt;$L$7:$L$70)*(Table8[[#This Row],[Formula4]]&gt;=$K$7:$K$70))&gt;1</f>
        <v>0</v>
      </c>
      <c r="N53" s="92">
        <f>Table8[[#This Row],[Time Out HH:MM AM/PM]]-Table8[[#This Row],[Time In HH:MM AM/PM]]</f>
        <v>0</v>
      </c>
      <c r="O53" s="93" t="str">
        <f>TEXT(Table8[[#This Row],[Formula 1]],"HH:MM")</f>
        <v>00:00</v>
      </c>
      <c r="P53" s="93" t="str">
        <f>LEFT(Table8[[#This Row],[Formula 2]],SEARCH(":",Table8[[#This Row],[Formula 2]])-1)</f>
        <v>00</v>
      </c>
      <c r="Q53" s="93" t="str">
        <f>RIGHT(Table8[[#This Row],[Formula 2]],SEARCH(":",Table8[[#This Row],[Formula 2]])-1)</f>
        <v>00</v>
      </c>
      <c r="R53" s="93">
        <f>Table8[[#This Row],[Hours]]*60+Table8[[#This Row],[Minutes]]</f>
        <v>0</v>
      </c>
      <c r="S53" s="94" t="str">
        <f>IF(ISBLANK(Table8[[#This Row],[Approved Service Provided]]),"",IF(OR(Table8[[#This Row],[Formula2]]="DAYS",Table8[[#This Row],[Formula2]]="TRIP"),1,ROUNDDOWN((Table8[[#This Row],[Total Minutes]]+7)/15,0)))</f>
        <v/>
      </c>
      <c r="T53" s="95" t="str">
        <f>IFERROR(VLOOKUP(Table8[[#This Row],[Combined]],'Optimax Rates'!D:G,4,FALSE),"")</f>
        <v/>
      </c>
      <c r="U53" s="95" t="str">
        <f>IF(Table8[[#This Row],[Rate]]="","",Table8[[#This Row],[Units]]*Table8[[#This Row],[Rate]])</f>
        <v/>
      </c>
      <c r="V53" s="154"/>
      <c r="W53" s="154"/>
      <c r="X53" s="154"/>
    </row>
    <row r="54" spans="1:24" ht="13.5" hidden="1" thickBot="1">
      <c r="A54" s="57"/>
      <c r="B54" s="61"/>
      <c r="C54" s="157"/>
      <c r="D54" s="62"/>
      <c r="E54" s="63"/>
      <c r="F54" s="63"/>
      <c r="G54" s="96">
        <f t="shared" si="1"/>
        <v>0</v>
      </c>
      <c r="H54" t="str">
        <f>Table8[[#This Row],[Program Code]]&amp;Table8[[#This Row],[Approved Service Provided]]&amp;Table8[[#This Row],[County of Service]]</f>
        <v/>
      </c>
      <c r="I54" t="str">
        <f>IF(Table8[[#This Row],[Waiver]]="State SLS", "8", IF(Table8[[#This Row],[Waiver]]="OBRA", "9", ""))</f>
        <v/>
      </c>
      <c r="J54" t="str">
        <f>IFERROR(VLOOKUP(Table8[[#This Row],[Combined]],'Optimax Rates'!D:E,2,FALSE),"")</f>
        <v/>
      </c>
      <c r="K54" t="str">
        <f>TEXT(Table8[[#This Row],[Date of Service]],"m/dd/yyyy ")&amp;" "&amp;TEXT(Table8[[#This Row],[Time In HH:MM AM/PM]],"hh:mm")</f>
        <v>1/00/1900  00:00</v>
      </c>
      <c r="L54" t="str">
        <f>TEXT(Table8[[#This Row],[Date of Service]],"m/dd/yyyy ")&amp;" "&amp;TEXT(Table8[[#This Row],[Time Out HH:MM AM/PM]],"hh:mm")</f>
        <v>1/00/1900  00:00</v>
      </c>
      <c r="M54" t="b" cm="1">
        <f t="array" ref="M54">SUMPRODUCT((Table8[[#This Row],[Formula3]]&lt;$L$7:$L$70)*(Table8[[#This Row],[Formula4]]&gt;=$K$7:$K$70))&gt;1</f>
        <v>0</v>
      </c>
      <c r="N54" s="92">
        <f>Table8[[#This Row],[Time Out HH:MM AM/PM]]-Table8[[#This Row],[Time In HH:MM AM/PM]]</f>
        <v>0</v>
      </c>
      <c r="O54" s="93" t="str">
        <f>TEXT(Table8[[#This Row],[Formula 1]],"HH:MM")</f>
        <v>00:00</v>
      </c>
      <c r="P54" s="93" t="str">
        <f>LEFT(Table8[[#This Row],[Formula 2]],SEARCH(":",Table8[[#This Row],[Formula 2]])-1)</f>
        <v>00</v>
      </c>
      <c r="Q54" s="93" t="str">
        <f>RIGHT(Table8[[#This Row],[Formula 2]],SEARCH(":",Table8[[#This Row],[Formula 2]])-1)</f>
        <v>00</v>
      </c>
      <c r="R54" s="93">
        <f>Table8[[#This Row],[Hours]]*60+Table8[[#This Row],[Minutes]]</f>
        <v>0</v>
      </c>
      <c r="S54" s="94" t="str">
        <f>IF(ISBLANK(Table8[[#This Row],[Approved Service Provided]]),"",IF(OR(Table8[[#This Row],[Formula2]]="DAYS",Table8[[#This Row],[Formula2]]="TRIP"),1,ROUNDDOWN((Table8[[#This Row],[Total Minutes]]+7)/15,0)))</f>
        <v/>
      </c>
      <c r="T54" s="95" t="str">
        <f>IFERROR(VLOOKUP(Table8[[#This Row],[Combined]],'Optimax Rates'!D:G,4,FALSE),"")</f>
        <v/>
      </c>
      <c r="U54" s="95" t="str">
        <f>IF(Table8[[#This Row],[Rate]]="","",Table8[[#This Row],[Units]]*Table8[[#This Row],[Rate]])</f>
        <v/>
      </c>
      <c r="V54" s="154"/>
      <c r="W54" s="154"/>
      <c r="X54" s="154"/>
    </row>
    <row r="55" spans="1:24" ht="13.5" hidden="1" thickBot="1">
      <c r="A55" s="57"/>
      <c r="B55" s="61"/>
      <c r="C55" s="157"/>
      <c r="D55" s="62"/>
      <c r="E55" s="63"/>
      <c r="F55" s="63"/>
      <c r="G55" s="96">
        <f t="shared" si="1"/>
        <v>0</v>
      </c>
      <c r="H55" t="str">
        <f>Table8[[#This Row],[Program Code]]&amp;Table8[[#This Row],[Approved Service Provided]]&amp;Table8[[#This Row],[County of Service]]</f>
        <v/>
      </c>
      <c r="I55" t="str">
        <f>IF(Table8[[#This Row],[Waiver]]="State SLS", "8", IF(Table8[[#This Row],[Waiver]]="OBRA", "9", ""))</f>
        <v/>
      </c>
      <c r="J55" t="str">
        <f>IFERROR(VLOOKUP(Table8[[#This Row],[Combined]],'Optimax Rates'!D:E,2,FALSE),"")</f>
        <v/>
      </c>
      <c r="K55" t="str">
        <f>TEXT(Table8[[#This Row],[Date of Service]],"m/dd/yyyy ")&amp;" "&amp;TEXT(Table8[[#This Row],[Time In HH:MM AM/PM]],"hh:mm")</f>
        <v>1/00/1900  00:00</v>
      </c>
      <c r="L55" t="str">
        <f>TEXT(Table8[[#This Row],[Date of Service]],"m/dd/yyyy ")&amp;" "&amp;TEXT(Table8[[#This Row],[Time Out HH:MM AM/PM]],"hh:mm")</f>
        <v>1/00/1900  00:00</v>
      </c>
      <c r="M55" t="b" cm="1">
        <f t="array" ref="M55">SUMPRODUCT((Table8[[#This Row],[Formula3]]&lt;$L$7:$L$70)*(Table8[[#This Row],[Formula4]]&gt;=$K$7:$K$70))&gt;1</f>
        <v>0</v>
      </c>
      <c r="N55" s="92">
        <f>Table8[[#This Row],[Time Out HH:MM AM/PM]]-Table8[[#This Row],[Time In HH:MM AM/PM]]</f>
        <v>0</v>
      </c>
      <c r="O55" s="93" t="str">
        <f>TEXT(Table8[[#This Row],[Formula 1]],"HH:MM")</f>
        <v>00:00</v>
      </c>
      <c r="P55" s="93" t="str">
        <f>LEFT(Table8[[#This Row],[Formula 2]],SEARCH(":",Table8[[#This Row],[Formula 2]])-1)</f>
        <v>00</v>
      </c>
      <c r="Q55" s="93" t="str">
        <f>RIGHT(Table8[[#This Row],[Formula 2]],SEARCH(":",Table8[[#This Row],[Formula 2]])-1)</f>
        <v>00</v>
      </c>
      <c r="R55" s="93">
        <f>Table8[[#This Row],[Hours]]*60+Table8[[#This Row],[Minutes]]</f>
        <v>0</v>
      </c>
      <c r="S55" s="94" t="str">
        <f>IF(ISBLANK(Table8[[#This Row],[Approved Service Provided]]),"",IF(OR(Table8[[#This Row],[Formula2]]="DAYS",Table8[[#This Row],[Formula2]]="TRIP"),1,ROUNDDOWN((Table8[[#This Row],[Total Minutes]]+7)/15,0)))</f>
        <v/>
      </c>
      <c r="T55" s="95" t="str">
        <f>IFERROR(VLOOKUP(Table8[[#This Row],[Combined]],'Optimax Rates'!D:G,4,FALSE),"")</f>
        <v/>
      </c>
      <c r="U55" s="95" t="str">
        <f>IF(Table8[[#This Row],[Rate]]="","",Table8[[#This Row],[Units]]*Table8[[#This Row],[Rate]])</f>
        <v/>
      </c>
      <c r="V55" s="154"/>
      <c r="W55" s="154"/>
      <c r="X55" s="154"/>
    </row>
    <row r="56" spans="1:24" ht="13.5" hidden="1" thickBot="1">
      <c r="A56" s="19"/>
      <c r="B56" s="16"/>
      <c r="C56" s="70"/>
      <c r="D56" s="1"/>
      <c r="E56" s="2"/>
      <c r="F56" s="2"/>
      <c r="G56" s="96">
        <f t="shared" si="1"/>
        <v>0</v>
      </c>
      <c r="H56" t="str">
        <f>Table8[[#This Row],[Program Code]]&amp;Table8[[#This Row],[Approved Service Provided]]&amp;Table8[[#This Row],[County of Service]]</f>
        <v/>
      </c>
      <c r="I56" t="str">
        <f>IF(Table8[[#This Row],[Waiver]]="State SLS", "8", IF(Table8[[#This Row],[Waiver]]="OBRA", "9", ""))</f>
        <v/>
      </c>
      <c r="J56" t="str">
        <f>IFERROR(VLOOKUP(Table8[[#This Row],[Combined]],'Optimax Rates'!D:E,2,FALSE),"")</f>
        <v/>
      </c>
      <c r="K56" t="str">
        <f>TEXT(Table8[[#This Row],[Date of Service]],"m/dd/yyyy ")&amp;" "&amp;TEXT(Table8[[#This Row],[Time In HH:MM AM/PM]],"hh:mm")</f>
        <v>1/00/1900  00:00</v>
      </c>
      <c r="L56" t="str">
        <f>TEXT(Table8[[#This Row],[Date of Service]],"m/dd/yyyy ")&amp;" "&amp;TEXT(Table8[[#This Row],[Time Out HH:MM AM/PM]],"hh:mm")</f>
        <v>1/00/1900  00:00</v>
      </c>
      <c r="M56" t="b" cm="1">
        <f t="array" ref="M56">SUMPRODUCT((Table8[[#This Row],[Formula3]]&lt;$L$7:$L$70)*(Table8[[#This Row],[Formula4]]&gt;=$K$7:$K$70))&gt;1</f>
        <v>0</v>
      </c>
      <c r="N56" s="92">
        <f>Table8[[#This Row],[Time Out HH:MM AM/PM]]-Table8[[#This Row],[Time In HH:MM AM/PM]]</f>
        <v>0</v>
      </c>
      <c r="O56" s="93" t="str">
        <f>TEXT(Table8[[#This Row],[Formula 1]],"HH:MM")</f>
        <v>00:00</v>
      </c>
      <c r="P56" s="93" t="str">
        <f>LEFT(Table8[[#This Row],[Formula 2]],SEARCH(":",Table8[[#This Row],[Formula 2]])-1)</f>
        <v>00</v>
      </c>
      <c r="Q56" s="93" t="str">
        <f>RIGHT(Table8[[#This Row],[Formula 2]],SEARCH(":",Table8[[#This Row],[Formula 2]])-1)</f>
        <v>00</v>
      </c>
      <c r="R56" s="93">
        <f>Table8[[#This Row],[Hours]]*60+Table8[[#This Row],[Minutes]]</f>
        <v>0</v>
      </c>
      <c r="S56" s="94" t="str">
        <f>IF(ISBLANK(Table8[[#This Row],[Approved Service Provided]]),"",IF(OR(Table8[[#This Row],[Formula2]]="DAYS",Table8[[#This Row],[Formula2]]="TRIP"),1,ROUNDDOWN((Table8[[#This Row],[Total Minutes]]+7)/15,0)))</f>
        <v/>
      </c>
      <c r="T56" s="95" t="str">
        <f>IFERROR(VLOOKUP(Table8[[#This Row],[Combined]],'Optimax Rates'!D:G,4,FALSE),"")</f>
        <v/>
      </c>
      <c r="U56" s="95" t="str">
        <f>IF(Table8[[#This Row],[Rate]]="","",Table8[[#This Row],[Units]]*Table8[[#This Row],[Rate]])</f>
        <v/>
      </c>
      <c r="V56" s="154"/>
      <c r="W56" s="154"/>
      <c r="X56" s="154"/>
    </row>
    <row r="57" spans="1:24" ht="13.5" hidden="1" thickBot="1">
      <c r="A57" s="19"/>
      <c r="B57" s="16"/>
      <c r="C57" s="70"/>
      <c r="D57" s="1"/>
      <c r="E57" s="2"/>
      <c r="F57" s="2"/>
      <c r="G57" s="96">
        <f t="shared" si="1"/>
        <v>0</v>
      </c>
      <c r="H57" t="str">
        <f>Table8[[#This Row],[Program Code]]&amp;Table8[[#This Row],[Approved Service Provided]]&amp;Table8[[#This Row],[County of Service]]</f>
        <v/>
      </c>
      <c r="I57" t="str">
        <f>IF(Table8[[#This Row],[Waiver]]="State SLS", "8", IF(Table8[[#This Row],[Waiver]]="OBRA", "9", ""))</f>
        <v/>
      </c>
      <c r="J57" t="str">
        <f>IFERROR(VLOOKUP(Table8[[#This Row],[Combined]],'Optimax Rates'!D:E,2,FALSE),"")</f>
        <v/>
      </c>
      <c r="K57" t="str">
        <f>TEXT(Table8[[#This Row],[Date of Service]],"m/dd/yyyy ")&amp;" "&amp;TEXT(Table8[[#This Row],[Time In HH:MM AM/PM]],"hh:mm")</f>
        <v>1/00/1900  00:00</v>
      </c>
      <c r="L57" t="str">
        <f>TEXT(Table8[[#This Row],[Date of Service]],"m/dd/yyyy ")&amp;" "&amp;TEXT(Table8[[#This Row],[Time Out HH:MM AM/PM]],"hh:mm")</f>
        <v>1/00/1900  00:00</v>
      </c>
      <c r="M57" t="b" cm="1">
        <f t="array" ref="M57">SUMPRODUCT((Table8[[#This Row],[Formula3]]&lt;$L$7:$L$70)*(Table8[[#This Row],[Formula4]]&gt;=$K$7:$K$70))&gt;1</f>
        <v>0</v>
      </c>
      <c r="N57" s="92">
        <f>Table8[[#This Row],[Time Out HH:MM AM/PM]]-Table8[[#This Row],[Time In HH:MM AM/PM]]</f>
        <v>0</v>
      </c>
      <c r="O57" s="93" t="str">
        <f>TEXT(Table8[[#This Row],[Formula 1]],"HH:MM")</f>
        <v>00:00</v>
      </c>
      <c r="P57" s="93" t="str">
        <f>LEFT(Table8[[#This Row],[Formula 2]],SEARCH(":",Table8[[#This Row],[Formula 2]])-1)</f>
        <v>00</v>
      </c>
      <c r="Q57" s="93" t="str">
        <f>RIGHT(Table8[[#This Row],[Formula 2]],SEARCH(":",Table8[[#This Row],[Formula 2]])-1)</f>
        <v>00</v>
      </c>
      <c r="R57" s="93">
        <f>Table8[[#This Row],[Hours]]*60+Table8[[#This Row],[Minutes]]</f>
        <v>0</v>
      </c>
      <c r="S57" s="94" t="str">
        <f>IF(ISBLANK(Table8[[#This Row],[Approved Service Provided]]),"",IF(OR(Table8[[#This Row],[Formula2]]="DAYS",Table8[[#This Row],[Formula2]]="TRIP"),1,ROUNDDOWN((Table8[[#This Row],[Total Minutes]]+7)/15,0)))</f>
        <v/>
      </c>
      <c r="T57" s="95" t="str">
        <f>IFERROR(VLOOKUP(Table8[[#This Row],[Combined]],'Optimax Rates'!D:G,4,FALSE),"")</f>
        <v/>
      </c>
      <c r="U57" s="95" t="str">
        <f>IF(Table8[[#This Row],[Rate]]="","",Table8[[#This Row],[Units]]*Table8[[#This Row],[Rate]])</f>
        <v/>
      </c>
      <c r="V57" s="154"/>
      <c r="W57" s="154"/>
      <c r="X57" s="154"/>
    </row>
    <row r="58" spans="1:24" ht="13.5" hidden="1" thickBot="1">
      <c r="A58" s="19"/>
      <c r="B58" s="16"/>
      <c r="C58" s="70"/>
      <c r="D58" s="1"/>
      <c r="E58" s="2"/>
      <c r="F58" s="2"/>
      <c r="G58" s="96">
        <f t="shared" si="1"/>
        <v>0</v>
      </c>
      <c r="H58" t="str">
        <f>Table8[[#This Row],[Program Code]]&amp;Table8[[#This Row],[Approved Service Provided]]&amp;Table8[[#This Row],[County of Service]]</f>
        <v/>
      </c>
      <c r="I58" t="str">
        <f>IF(Table8[[#This Row],[Waiver]]="State SLS", "8", IF(Table8[[#This Row],[Waiver]]="OBRA", "9", ""))</f>
        <v/>
      </c>
      <c r="J58" t="str">
        <f>IFERROR(VLOOKUP(Table8[[#This Row],[Combined]],'Optimax Rates'!D:E,2,FALSE),"")</f>
        <v/>
      </c>
      <c r="K58" t="str">
        <f>TEXT(Table8[[#This Row],[Date of Service]],"m/dd/yyyy ")&amp;" "&amp;TEXT(Table8[[#This Row],[Time In HH:MM AM/PM]],"hh:mm")</f>
        <v>1/00/1900  00:00</v>
      </c>
      <c r="L58" t="str">
        <f>TEXT(Table8[[#This Row],[Date of Service]],"m/dd/yyyy ")&amp;" "&amp;TEXT(Table8[[#This Row],[Time Out HH:MM AM/PM]],"hh:mm")</f>
        <v>1/00/1900  00:00</v>
      </c>
      <c r="M58" t="b" cm="1">
        <f t="array" ref="M58">SUMPRODUCT((Table8[[#This Row],[Formula3]]&lt;$L$7:$L$70)*(Table8[[#This Row],[Formula4]]&gt;=$K$7:$K$70))&gt;1</f>
        <v>0</v>
      </c>
      <c r="N58" s="92">
        <f>Table8[[#This Row],[Time Out HH:MM AM/PM]]-Table8[[#This Row],[Time In HH:MM AM/PM]]</f>
        <v>0</v>
      </c>
      <c r="O58" s="93" t="str">
        <f>TEXT(Table8[[#This Row],[Formula 1]],"HH:MM")</f>
        <v>00:00</v>
      </c>
      <c r="P58" s="93" t="str">
        <f>LEFT(Table8[[#This Row],[Formula 2]],SEARCH(":",Table8[[#This Row],[Formula 2]])-1)</f>
        <v>00</v>
      </c>
      <c r="Q58" s="93" t="str">
        <f>RIGHT(Table8[[#This Row],[Formula 2]],SEARCH(":",Table8[[#This Row],[Formula 2]])-1)</f>
        <v>00</v>
      </c>
      <c r="R58" s="93">
        <f>Table8[[#This Row],[Hours]]*60+Table8[[#This Row],[Minutes]]</f>
        <v>0</v>
      </c>
      <c r="S58" s="94" t="str">
        <f>IF(ISBLANK(Table8[[#This Row],[Approved Service Provided]]),"",IF(OR(Table8[[#This Row],[Formula2]]="DAYS",Table8[[#This Row],[Formula2]]="TRIP"),1,ROUNDDOWN((Table8[[#This Row],[Total Minutes]]+7)/15,0)))</f>
        <v/>
      </c>
      <c r="T58" s="95" t="str">
        <f>IFERROR(VLOOKUP(Table8[[#This Row],[Combined]],'Optimax Rates'!D:G,4,FALSE),"")</f>
        <v/>
      </c>
      <c r="U58" s="95" t="str">
        <f>IF(Table8[[#This Row],[Rate]]="","",Table8[[#This Row],[Units]]*Table8[[#This Row],[Rate]])</f>
        <v/>
      </c>
      <c r="V58" s="154"/>
      <c r="W58" s="154"/>
      <c r="X58" s="154"/>
    </row>
    <row r="59" spans="1:24" ht="13.5" hidden="1" thickBot="1">
      <c r="A59" s="19"/>
      <c r="B59" s="16"/>
      <c r="C59" s="70"/>
      <c r="D59" s="1"/>
      <c r="E59" s="2"/>
      <c r="F59" s="2"/>
      <c r="G59" s="96">
        <f t="shared" si="1"/>
        <v>0</v>
      </c>
      <c r="H59" t="str">
        <f>Table8[[#This Row],[Program Code]]&amp;Table8[[#This Row],[Approved Service Provided]]&amp;Table8[[#This Row],[County of Service]]</f>
        <v/>
      </c>
      <c r="I59" t="str">
        <f>IF(Table8[[#This Row],[Waiver]]="State SLS", "8", IF(Table8[[#This Row],[Waiver]]="OBRA", "9", ""))</f>
        <v/>
      </c>
      <c r="J59" t="str">
        <f>IFERROR(VLOOKUP(Table8[[#This Row],[Combined]],'Optimax Rates'!D:E,2,FALSE),"")</f>
        <v/>
      </c>
      <c r="K59" t="str">
        <f>TEXT(Table8[[#This Row],[Date of Service]],"m/dd/yyyy ")&amp;" "&amp;TEXT(Table8[[#This Row],[Time In HH:MM AM/PM]],"hh:mm")</f>
        <v>1/00/1900  00:00</v>
      </c>
      <c r="L59" t="str">
        <f>TEXT(Table8[[#This Row],[Date of Service]],"m/dd/yyyy ")&amp;" "&amp;TEXT(Table8[[#This Row],[Time Out HH:MM AM/PM]],"hh:mm")</f>
        <v>1/00/1900  00:00</v>
      </c>
      <c r="M59" t="b" cm="1">
        <f t="array" ref="M59">SUMPRODUCT((Table8[[#This Row],[Formula3]]&lt;$L$7:$L$70)*(Table8[[#This Row],[Formula4]]&gt;=$K$7:$K$70))&gt;1</f>
        <v>0</v>
      </c>
      <c r="N59" s="92">
        <f>Table8[[#This Row],[Time Out HH:MM AM/PM]]-Table8[[#This Row],[Time In HH:MM AM/PM]]</f>
        <v>0</v>
      </c>
      <c r="O59" s="93" t="str">
        <f>TEXT(Table8[[#This Row],[Formula 1]],"HH:MM")</f>
        <v>00:00</v>
      </c>
      <c r="P59" s="93" t="str">
        <f>LEFT(Table8[[#This Row],[Formula 2]],SEARCH(":",Table8[[#This Row],[Formula 2]])-1)</f>
        <v>00</v>
      </c>
      <c r="Q59" s="93" t="str">
        <f>RIGHT(Table8[[#This Row],[Formula 2]],SEARCH(":",Table8[[#This Row],[Formula 2]])-1)</f>
        <v>00</v>
      </c>
      <c r="R59" s="93">
        <f>Table8[[#This Row],[Hours]]*60+Table8[[#This Row],[Minutes]]</f>
        <v>0</v>
      </c>
      <c r="S59" s="94" t="str">
        <f>IF(ISBLANK(Table8[[#This Row],[Approved Service Provided]]),"",IF(OR(Table8[[#This Row],[Formula2]]="DAYS",Table8[[#This Row],[Formula2]]="TRIP"),1,ROUNDDOWN((Table8[[#This Row],[Total Minutes]]+7)/15,0)))</f>
        <v/>
      </c>
      <c r="T59" s="95" t="str">
        <f>IFERROR(VLOOKUP(Table8[[#This Row],[Combined]],'Optimax Rates'!D:G,4,FALSE),"")</f>
        <v/>
      </c>
      <c r="U59" s="95" t="str">
        <f>IF(Table8[[#This Row],[Rate]]="","",Table8[[#This Row],[Units]]*Table8[[#This Row],[Rate]])</f>
        <v/>
      </c>
      <c r="V59" s="154"/>
      <c r="W59" s="154"/>
      <c r="X59" s="154"/>
    </row>
    <row r="60" spans="1:24" ht="13.5" hidden="1" thickBot="1">
      <c r="A60" s="19"/>
      <c r="B60" s="16"/>
      <c r="C60" s="70"/>
      <c r="D60" s="1"/>
      <c r="E60" s="2"/>
      <c r="F60" s="2"/>
      <c r="G60" s="96">
        <f t="shared" si="1"/>
        <v>0</v>
      </c>
      <c r="H60" t="str">
        <f>Table8[[#This Row],[Program Code]]&amp;Table8[[#This Row],[Approved Service Provided]]&amp;Table8[[#This Row],[County of Service]]</f>
        <v/>
      </c>
      <c r="I60" t="str">
        <f>IF(Table8[[#This Row],[Waiver]]="State SLS", "8", IF(Table8[[#This Row],[Waiver]]="OBRA", "9", ""))</f>
        <v/>
      </c>
      <c r="J60" t="str">
        <f>IFERROR(VLOOKUP(Table8[[#This Row],[Combined]],'Optimax Rates'!D:E,2,FALSE),"")</f>
        <v/>
      </c>
      <c r="K60" t="str">
        <f>TEXT(Table8[[#This Row],[Date of Service]],"m/dd/yyyy ")&amp;" "&amp;TEXT(Table8[[#This Row],[Time In HH:MM AM/PM]],"hh:mm")</f>
        <v>1/00/1900  00:00</v>
      </c>
      <c r="L60" t="str">
        <f>TEXT(Table8[[#This Row],[Date of Service]],"m/dd/yyyy ")&amp;" "&amp;TEXT(Table8[[#This Row],[Time Out HH:MM AM/PM]],"hh:mm")</f>
        <v>1/00/1900  00:00</v>
      </c>
      <c r="M60" t="b" cm="1">
        <f t="array" ref="M60">SUMPRODUCT((Table8[[#This Row],[Formula3]]&lt;$L$7:$L$70)*(Table8[[#This Row],[Formula4]]&gt;=$K$7:$K$70))&gt;1</f>
        <v>0</v>
      </c>
      <c r="N60" s="92">
        <f>Table8[[#This Row],[Time Out HH:MM AM/PM]]-Table8[[#This Row],[Time In HH:MM AM/PM]]</f>
        <v>0</v>
      </c>
      <c r="O60" s="93" t="str">
        <f>TEXT(Table8[[#This Row],[Formula 1]],"HH:MM")</f>
        <v>00:00</v>
      </c>
      <c r="P60" s="93" t="str">
        <f>LEFT(Table8[[#This Row],[Formula 2]],SEARCH(":",Table8[[#This Row],[Formula 2]])-1)</f>
        <v>00</v>
      </c>
      <c r="Q60" s="93" t="str">
        <f>RIGHT(Table8[[#This Row],[Formula 2]],SEARCH(":",Table8[[#This Row],[Formula 2]])-1)</f>
        <v>00</v>
      </c>
      <c r="R60" s="93">
        <f>Table8[[#This Row],[Hours]]*60+Table8[[#This Row],[Minutes]]</f>
        <v>0</v>
      </c>
      <c r="S60" s="94" t="str">
        <f>IF(ISBLANK(Table8[[#This Row],[Approved Service Provided]]),"",IF(OR(Table8[[#This Row],[Formula2]]="DAYS",Table8[[#This Row],[Formula2]]="TRIP"),1,ROUNDDOWN((Table8[[#This Row],[Total Minutes]]+7)/15,0)))</f>
        <v/>
      </c>
      <c r="T60" s="95" t="str">
        <f>IFERROR(VLOOKUP(Table8[[#This Row],[Combined]],'Optimax Rates'!D:G,4,FALSE),"")</f>
        <v/>
      </c>
      <c r="U60" s="95" t="str">
        <f>IF(Table8[[#This Row],[Rate]]="","",Table8[[#This Row],[Units]]*Table8[[#This Row],[Rate]])</f>
        <v/>
      </c>
      <c r="V60" s="154"/>
      <c r="W60" s="154"/>
      <c r="X60" s="154"/>
    </row>
    <row r="61" spans="1:24" ht="13.5" hidden="1" thickBot="1">
      <c r="A61" s="19"/>
      <c r="B61" s="16"/>
      <c r="C61" s="70"/>
      <c r="D61" s="1"/>
      <c r="E61" s="2"/>
      <c r="F61" s="2"/>
      <c r="G61" s="96">
        <f t="shared" si="1"/>
        <v>0</v>
      </c>
      <c r="H61" t="str">
        <f>Table8[[#This Row],[Program Code]]&amp;Table8[[#This Row],[Approved Service Provided]]&amp;Table8[[#This Row],[County of Service]]</f>
        <v/>
      </c>
      <c r="I61" t="str">
        <f>IF(Table8[[#This Row],[Waiver]]="State SLS", "8", IF(Table8[[#This Row],[Waiver]]="OBRA", "9", ""))</f>
        <v/>
      </c>
      <c r="J61" t="str">
        <f>IFERROR(VLOOKUP(Table8[[#This Row],[Combined]],'Optimax Rates'!D:E,2,FALSE),"")</f>
        <v/>
      </c>
      <c r="K61" t="str">
        <f>TEXT(Table8[[#This Row],[Date of Service]],"m/dd/yyyy ")&amp;" "&amp;TEXT(Table8[[#This Row],[Time In HH:MM AM/PM]],"hh:mm")</f>
        <v>1/00/1900  00:00</v>
      </c>
      <c r="L61" t="str">
        <f>TEXT(Table8[[#This Row],[Date of Service]],"m/dd/yyyy ")&amp;" "&amp;TEXT(Table8[[#This Row],[Time Out HH:MM AM/PM]],"hh:mm")</f>
        <v>1/00/1900  00:00</v>
      </c>
      <c r="M61" t="b" cm="1">
        <f t="array" ref="M61">SUMPRODUCT((Table8[[#This Row],[Formula3]]&lt;$L$7:$L$70)*(Table8[[#This Row],[Formula4]]&gt;=$K$7:$K$70))&gt;1</f>
        <v>0</v>
      </c>
      <c r="N61" s="92">
        <f>Table8[[#This Row],[Time Out HH:MM AM/PM]]-Table8[[#This Row],[Time In HH:MM AM/PM]]</f>
        <v>0</v>
      </c>
      <c r="O61" s="93" t="str">
        <f>TEXT(Table8[[#This Row],[Formula 1]],"HH:MM")</f>
        <v>00:00</v>
      </c>
      <c r="P61" s="93" t="str">
        <f>LEFT(Table8[[#This Row],[Formula 2]],SEARCH(":",Table8[[#This Row],[Formula 2]])-1)</f>
        <v>00</v>
      </c>
      <c r="Q61" s="93" t="str">
        <f>RIGHT(Table8[[#This Row],[Formula 2]],SEARCH(":",Table8[[#This Row],[Formula 2]])-1)</f>
        <v>00</v>
      </c>
      <c r="R61" s="93">
        <f>Table8[[#This Row],[Hours]]*60+Table8[[#This Row],[Minutes]]</f>
        <v>0</v>
      </c>
      <c r="S61" s="94" t="str">
        <f>IF(ISBLANK(Table8[[#This Row],[Approved Service Provided]]),"",IF(OR(Table8[[#This Row],[Formula2]]="DAYS",Table8[[#This Row],[Formula2]]="TRIP"),1,ROUNDDOWN((Table8[[#This Row],[Total Minutes]]+7)/15,0)))</f>
        <v/>
      </c>
      <c r="T61" s="95" t="str">
        <f>IFERROR(VLOOKUP(Table8[[#This Row],[Combined]],'Optimax Rates'!D:G,4,FALSE),"")</f>
        <v/>
      </c>
      <c r="U61" s="95" t="str">
        <f>IF(Table8[[#This Row],[Rate]]="","",Table8[[#This Row],[Units]]*Table8[[#This Row],[Rate]])</f>
        <v/>
      </c>
      <c r="V61" s="154"/>
      <c r="W61" s="154"/>
      <c r="X61" s="154"/>
    </row>
    <row r="62" spans="1:24" ht="13.5" hidden="1" thickBot="1">
      <c r="A62" s="19"/>
      <c r="B62" s="16"/>
      <c r="C62" s="70"/>
      <c r="D62" s="1"/>
      <c r="E62" s="2"/>
      <c r="F62" s="2"/>
      <c r="G62" s="96">
        <f t="shared" si="1"/>
        <v>0</v>
      </c>
      <c r="H62" t="str">
        <f>Table8[[#This Row],[Program Code]]&amp;Table8[[#This Row],[Approved Service Provided]]&amp;Table8[[#This Row],[County of Service]]</f>
        <v/>
      </c>
      <c r="I62" t="str">
        <f>IF(Table8[[#This Row],[Waiver]]="State SLS", "8", IF(Table8[[#This Row],[Waiver]]="OBRA", "9", ""))</f>
        <v/>
      </c>
      <c r="J62" t="str">
        <f>IFERROR(VLOOKUP(Table8[[#This Row],[Combined]],'Optimax Rates'!D:E,2,FALSE),"")</f>
        <v/>
      </c>
      <c r="K62" t="str">
        <f>TEXT(Table8[[#This Row],[Date of Service]],"m/dd/yyyy ")&amp;" "&amp;TEXT(Table8[[#This Row],[Time In HH:MM AM/PM]],"hh:mm")</f>
        <v>1/00/1900  00:00</v>
      </c>
      <c r="L62" t="str">
        <f>TEXT(Table8[[#This Row],[Date of Service]],"m/dd/yyyy ")&amp;" "&amp;TEXT(Table8[[#This Row],[Time Out HH:MM AM/PM]],"hh:mm")</f>
        <v>1/00/1900  00:00</v>
      </c>
      <c r="M62" t="b" cm="1">
        <f t="array" ref="M62">SUMPRODUCT((Table8[[#This Row],[Formula3]]&lt;$L$7:$L$70)*(Table8[[#This Row],[Formula4]]&gt;=$K$7:$K$70))&gt;1</f>
        <v>0</v>
      </c>
      <c r="N62" s="92">
        <f>Table8[[#This Row],[Time Out HH:MM AM/PM]]-Table8[[#This Row],[Time In HH:MM AM/PM]]</f>
        <v>0</v>
      </c>
      <c r="O62" s="93" t="str">
        <f>TEXT(Table8[[#This Row],[Formula 1]],"HH:MM")</f>
        <v>00:00</v>
      </c>
      <c r="P62" s="93" t="str">
        <f>LEFT(Table8[[#This Row],[Formula 2]],SEARCH(":",Table8[[#This Row],[Formula 2]])-1)</f>
        <v>00</v>
      </c>
      <c r="Q62" s="93" t="str">
        <f>RIGHT(Table8[[#This Row],[Formula 2]],SEARCH(":",Table8[[#This Row],[Formula 2]])-1)</f>
        <v>00</v>
      </c>
      <c r="R62" s="93">
        <f>Table8[[#This Row],[Hours]]*60+Table8[[#This Row],[Minutes]]</f>
        <v>0</v>
      </c>
      <c r="S62" s="94" t="str">
        <f>IF(ISBLANK(Table8[[#This Row],[Approved Service Provided]]),"",IF(OR(Table8[[#This Row],[Formula2]]="DAYS",Table8[[#This Row],[Formula2]]="TRIP"),1,ROUNDDOWN((Table8[[#This Row],[Total Minutes]]+7)/15,0)))</f>
        <v/>
      </c>
      <c r="T62" s="95" t="str">
        <f>IFERROR(VLOOKUP(Table8[[#This Row],[Combined]],'Optimax Rates'!D:G,4,FALSE),"")</f>
        <v/>
      </c>
      <c r="U62" s="95" t="str">
        <f>IF(Table8[[#This Row],[Rate]]="","",Table8[[#This Row],[Units]]*Table8[[#This Row],[Rate]])</f>
        <v/>
      </c>
      <c r="V62" s="154"/>
      <c r="W62" s="154"/>
      <c r="X62" s="154"/>
    </row>
    <row r="63" spans="1:24" ht="13.5" hidden="1" thickBot="1">
      <c r="A63" s="19"/>
      <c r="B63" s="16"/>
      <c r="C63" s="70"/>
      <c r="D63" s="1"/>
      <c r="E63" s="2"/>
      <c r="F63" s="2"/>
      <c r="G63" s="96">
        <f t="shared" si="1"/>
        <v>0</v>
      </c>
      <c r="H63" t="str">
        <f>Table8[[#This Row],[Program Code]]&amp;Table8[[#This Row],[Approved Service Provided]]&amp;Table8[[#This Row],[County of Service]]</f>
        <v/>
      </c>
      <c r="I63" t="str">
        <f>IF(Table8[[#This Row],[Waiver]]="State SLS", "8", IF(Table8[[#This Row],[Waiver]]="OBRA", "9", ""))</f>
        <v/>
      </c>
      <c r="J63" t="str">
        <f>IFERROR(VLOOKUP(Table8[[#This Row],[Combined]],'Optimax Rates'!D:E,2,FALSE),"")</f>
        <v/>
      </c>
      <c r="K63" t="str">
        <f>TEXT(Table8[[#This Row],[Date of Service]],"m/dd/yyyy ")&amp;" "&amp;TEXT(Table8[[#This Row],[Time In HH:MM AM/PM]],"hh:mm")</f>
        <v>1/00/1900  00:00</v>
      </c>
      <c r="L63" t="str">
        <f>TEXT(Table8[[#This Row],[Date of Service]],"m/dd/yyyy ")&amp;" "&amp;TEXT(Table8[[#This Row],[Time Out HH:MM AM/PM]],"hh:mm")</f>
        <v>1/00/1900  00:00</v>
      </c>
      <c r="M63" t="b" cm="1">
        <f t="array" ref="M63">SUMPRODUCT((Table8[[#This Row],[Formula3]]&lt;$L$7:$L$70)*(Table8[[#This Row],[Formula4]]&gt;=$K$7:$K$70))&gt;1</f>
        <v>0</v>
      </c>
      <c r="N63" s="92">
        <f>Table8[[#This Row],[Time Out HH:MM AM/PM]]-Table8[[#This Row],[Time In HH:MM AM/PM]]</f>
        <v>0</v>
      </c>
      <c r="O63" s="93" t="str">
        <f>TEXT(Table8[[#This Row],[Formula 1]],"HH:MM")</f>
        <v>00:00</v>
      </c>
      <c r="P63" s="93" t="str">
        <f>LEFT(Table8[[#This Row],[Formula 2]],SEARCH(":",Table8[[#This Row],[Formula 2]])-1)</f>
        <v>00</v>
      </c>
      <c r="Q63" s="93" t="str">
        <f>RIGHT(Table8[[#This Row],[Formula 2]],SEARCH(":",Table8[[#This Row],[Formula 2]])-1)</f>
        <v>00</v>
      </c>
      <c r="R63" s="93">
        <f>Table8[[#This Row],[Hours]]*60+Table8[[#This Row],[Minutes]]</f>
        <v>0</v>
      </c>
      <c r="S63" s="94" t="str">
        <f>IF(ISBLANK(Table8[[#This Row],[Approved Service Provided]]),"",IF(OR(Table8[[#This Row],[Formula2]]="DAYS",Table8[[#This Row],[Formula2]]="TRIP"),1,ROUNDDOWN((Table8[[#This Row],[Total Minutes]]+7)/15,0)))</f>
        <v/>
      </c>
      <c r="T63" s="95" t="str">
        <f>IFERROR(VLOOKUP(Table8[[#This Row],[Combined]],'Optimax Rates'!D:G,4,FALSE),"")</f>
        <v/>
      </c>
      <c r="U63" s="95" t="str">
        <f>IF(Table8[[#This Row],[Rate]]="","",Table8[[#This Row],[Units]]*Table8[[#This Row],[Rate]])</f>
        <v/>
      </c>
      <c r="V63" s="154"/>
      <c r="W63" s="154"/>
      <c r="X63" s="154"/>
    </row>
    <row r="64" spans="1:24" ht="13.5" hidden="1" thickBot="1">
      <c r="A64" s="19"/>
      <c r="B64" s="17"/>
      <c r="C64" s="161"/>
      <c r="D64" s="1"/>
      <c r="E64" s="2"/>
      <c r="F64" s="2"/>
      <c r="G64" s="96">
        <f t="shared" si="1"/>
        <v>0</v>
      </c>
      <c r="H64" t="str">
        <f>Table8[[#This Row],[Program Code]]&amp;Table8[[#This Row],[Approved Service Provided]]&amp;Table8[[#This Row],[County of Service]]</f>
        <v/>
      </c>
      <c r="I64" t="str">
        <f>IF(Table8[[#This Row],[Waiver]]="State SLS", "8", IF(Table8[[#This Row],[Waiver]]="OBRA", "9", ""))</f>
        <v/>
      </c>
      <c r="J64" t="str">
        <f>IFERROR(VLOOKUP(Table8[[#This Row],[Combined]],'Optimax Rates'!D:E,2,FALSE),"")</f>
        <v/>
      </c>
      <c r="K64" t="str">
        <f>TEXT(Table8[[#This Row],[Date of Service]],"m/dd/yyyy ")&amp;" "&amp;TEXT(Table8[[#This Row],[Time In HH:MM AM/PM]],"hh:mm")</f>
        <v>1/00/1900  00:00</v>
      </c>
      <c r="L64" t="str">
        <f>TEXT(Table8[[#This Row],[Date of Service]],"m/dd/yyyy ")&amp;" "&amp;TEXT(Table8[[#This Row],[Time Out HH:MM AM/PM]],"hh:mm")</f>
        <v>1/00/1900  00:00</v>
      </c>
      <c r="M64" t="b" cm="1">
        <f t="array" ref="M64">SUMPRODUCT((Table8[[#This Row],[Formula3]]&lt;$L$7:$L$70)*(Table8[[#This Row],[Formula4]]&gt;=$K$7:$K$70))&gt;1</f>
        <v>0</v>
      </c>
      <c r="N64" s="92">
        <f>Table8[[#This Row],[Time Out HH:MM AM/PM]]-Table8[[#This Row],[Time In HH:MM AM/PM]]</f>
        <v>0</v>
      </c>
      <c r="O64" s="93" t="str">
        <f>TEXT(Table8[[#This Row],[Formula 1]],"HH:MM")</f>
        <v>00:00</v>
      </c>
      <c r="P64" s="93" t="str">
        <f>LEFT(Table8[[#This Row],[Formula 2]],SEARCH(":",Table8[[#This Row],[Formula 2]])-1)</f>
        <v>00</v>
      </c>
      <c r="Q64" s="93" t="str">
        <f>RIGHT(Table8[[#This Row],[Formula 2]],SEARCH(":",Table8[[#This Row],[Formula 2]])-1)</f>
        <v>00</v>
      </c>
      <c r="R64" s="93">
        <f>Table8[[#This Row],[Hours]]*60+Table8[[#This Row],[Minutes]]</f>
        <v>0</v>
      </c>
      <c r="S64" s="94" t="str">
        <f>IF(ISBLANK(Table8[[#This Row],[Approved Service Provided]]),"",IF(OR(Table8[[#This Row],[Formula2]]="DAYS",Table8[[#This Row],[Formula2]]="TRIP"),1,ROUNDDOWN((Table8[[#This Row],[Total Minutes]]+7)/15,0)))</f>
        <v/>
      </c>
      <c r="T64" s="95" t="str">
        <f>IFERROR(VLOOKUP(Table8[[#This Row],[Combined]],'Optimax Rates'!D:G,4,FALSE),"")</f>
        <v/>
      </c>
      <c r="U64" s="95" t="str">
        <f>IF(Table8[[#This Row],[Rate]]="","",Table8[[#This Row],[Units]]*Table8[[#This Row],[Rate]])</f>
        <v/>
      </c>
      <c r="V64" s="154"/>
      <c r="W64" s="154"/>
      <c r="X64" s="154"/>
    </row>
    <row r="65" spans="1:25" ht="13.5" hidden="1" thickBot="1">
      <c r="A65" s="19"/>
      <c r="B65" s="16"/>
      <c r="C65" s="70"/>
      <c r="D65" s="1"/>
      <c r="E65" s="2"/>
      <c r="F65" s="2"/>
      <c r="G65" s="96">
        <f t="shared" si="1"/>
        <v>0</v>
      </c>
      <c r="H65" t="str">
        <f>Table8[[#This Row],[Program Code]]&amp;Table8[[#This Row],[Approved Service Provided]]&amp;Table8[[#This Row],[County of Service]]</f>
        <v/>
      </c>
      <c r="I65" t="str">
        <f>IF(Table8[[#This Row],[Waiver]]="State SLS", "8", IF(Table8[[#This Row],[Waiver]]="OBRA", "9", ""))</f>
        <v/>
      </c>
      <c r="J65" t="str">
        <f>IFERROR(VLOOKUP(Table8[[#This Row],[Combined]],'Optimax Rates'!D:E,2,FALSE),"")</f>
        <v/>
      </c>
      <c r="K65" t="str">
        <f>TEXT(Table8[[#This Row],[Date of Service]],"m/dd/yyyy ")&amp;" "&amp;TEXT(Table8[[#This Row],[Time In HH:MM AM/PM]],"hh:mm")</f>
        <v>1/00/1900  00:00</v>
      </c>
      <c r="L65" t="str">
        <f>TEXT(Table8[[#This Row],[Date of Service]],"m/dd/yyyy ")&amp;" "&amp;TEXT(Table8[[#This Row],[Time Out HH:MM AM/PM]],"hh:mm")</f>
        <v>1/00/1900  00:00</v>
      </c>
      <c r="M65" t="b" cm="1">
        <f t="array" ref="M65">SUMPRODUCT((Table8[[#This Row],[Formula3]]&lt;$L$7:$L$70)*(Table8[[#This Row],[Formula4]]&gt;=$K$7:$K$70))&gt;1</f>
        <v>0</v>
      </c>
      <c r="N65" s="92">
        <f>Table8[[#This Row],[Time Out HH:MM AM/PM]]-Table8[[#This Row],[Time In HH:MM AM/PM]]</f>
        <v>0</v>
      </c>
      <c r="O65" s="93" t="str">
        <f>TEXT(Table8[[#This Row],[Formula 1]],"HH:MM")</f>
        <v>00:00</v>
      </c>
      <c r="P65" s="93" t="str">
        <f>LEFT(Table8[[#This Row],[Formula 2]],SEARCH(":",Table8[[#This Row],[Formula 2]])-1)</f>
        <v>00</v>
      </c>
      <c r="Q65" s="93" t="str">
        <f>RIGHT(Table8[[#This Row],[Formula 2]],SEARCH(":",Table8[[#This Row],[Formula 2]])-1)</f>
        <v>00</v>
      </c>
      <c r="R65" s="93">
        <f>Table8[[#This Row],[Hours]]*60+Table8[[#This Row],[Minutes]]</f>
        <v>0</v>
      </c>
      <c r="S65" s="94" t="str">
        <f>IF(ISBLANK(Table8[[#This Row],[Approved Service Provided]]),"",IF(OR(Table8[[#This Row],[Formula2]]="DAYS",Table8[[#This Row],[Formula2]]="TRIP"),1,ROUNDDOWN((Table8[[#This Row],[Total Minutes]]+7)/15,0)))</f>
        <v/>
      </c>
      <c r="T65" s="95" t="str">
        <f>IFERROR(VLOOKUP(Table8[[#This Row],[Combined]],'Optimax Rates'!D:G,4,FALSE),"")</f>
        <v/>
      </c>
      <c r="U65" s="95" t="str">
        <f>IF(Table8[[#This Row],[Rate]]="","",Table8[[#This Row],[Units]]*Table8[[#This Row],[Rate]])</f>
        <v/>
      </c>
      <c r="V65" s="154"/>
      <c r="W65" s="154"/>
      <c r="X65" s="154"/>
    </row>
    <row r="66" spans="1:25" ht="13.5" hidden="1" thickBot="1">
      <c r="A66" s="19"/>
      <c r="B66" s="16"/>
      <c r="C66" s="70"/>
      <c r="D66" s="1"/>
      <c r="E66" s="2"/>
      <c r="F66" s="2"/>
      <c r="G66" s="96">
        <f t="shared" si="1"/>
        <v>0</v>
      </c>
      <c r="H66" t="str">
        <f>Table8[[#This Row],[Program Code]]&amp;Table8[[#This Row],[Approved Service Provided]]&amp;Table8[[#This Row],[County of Service]]</f>
        <v/>
      </c>
      <c r="I66" t="str">
        <f>IF(Table8[[#This Row],[Waiver]]="State SLS", "8", IF(Table8[[#This Row],[Waiver]]="OBRA", "9", ""))</f>
        <v/>
      </c>
      <c r="J66" t="str">
        <f>IFERROR(VLOOKUP(Table8[[#This Row],[Combined]],'Optimax Rates'!D:E,2,FALSE),"")</f>
        <v/>
      </c>
      <c r="K66" t="str">
        <f>TEXT(Table8[[#This Row],[Date of Service]],"m/dd/yyyy ")&amp;" "&amp;TEXT(Table8[[#This Row],[Time In HH:MM AM/PM]],"hh:mm")</f>
        <v>1/00/1900  00:00</v>
      </c>
      <c r="L66" t="str">
        <f>TEXT(Table8[[#This Row],[Date of Service]],"m/dd/yyyy ")&amp;" "&amp;TEXT(Table8[[#This Row],[Time Out HH:MM AM/PM]],"hh:mm")</f>
        <v>1/00/1900  00:00</v>
      </c>
      <c r="M66" t="b" cm="1">
        <f t="array" ref="M66">SUMPRODUCT((Table8[[#This Row],[Formula3]]&lt;$L$7:$L$70)*(Table8[[#This Row],[Formula4]]&gt;=$K$7:$K$70))&gt;1</f>
        <v>0</v>
      </c>
      <c r="N66" s="92">
        <f>Table8[[#This Row],[Time Out HH:MM AM/PM]]-Table8[[#This Row],[Time In HH:MM AM/PM]]</f>
        <v>0</v>
      </c>
      <c r="O66" s="93" t="str">
        <f>TEXT(Table8[[#This Row],[Formula 1]],"HH:MM")</f>
        <v>00:00</v>
      </c>
      <c r="P66" s="93" t="str">
        <f>LEFT(Table8[[#This Row],[Formula 2]],SEARCH(":",Table8[[#This Row],[Formula 2]])-1)</f>
        <v>00</v>
      </c>
      <c r="Q66" s="93" t="str">
        <f>RIGHT(Table8[[#This Row],[Formula 2]],SEARCH(":",Table8[[#This Row],[Formula 2]])-1)</f>
        <v>00</v>
      </c>
      <c r="R66" s="93">
        <f>Table8[[#This Row],[Hours]]*60+Table8[[#This Row],[Minutes]]</f>
        <v>0</v>
      </c>
      <c r="S66" s="94" t="str">
        <f>IF(ISBLANK(Table8[[#This Row],[Approved Service Provided]]),"",IF(OR(Table8[[#This Row],[Formula2]]="DAYS",Table8[[#This Row],[Formula2]]="TRIP"),1,ROUNDDOWN((Table8[[#This Row],[Total Minutes]]+7)/15,0)))</f>
        <v/>
      </c>
      <c r="T66" s="95" t="str">
        <f>IFERROR(VLOOKUP(Table8[[#This Row],[Combined]],'Optimax Rates'!D:G,4,FALSE),"")</f>
        <v/>
      </c>
      <c r="U66" s="95" t="str">
        <f>IF(Table8[[#This Row],[Rate]]="","",Table8[[#This Row],[Units]]*Table8[[#This Row],[Rate]])</f>
        <v/>
      </c>
      <c r="V66" s="154"/>
      <c r="W66" s="154"/>
      <c r="X66" s="154"/>
    </row>
    <row r="67" spans="1:25" ht="13.5" hidden="1" thickBot="1">
      <c r="A67" s="19"/>
      <c r="B67" s="16"/>
      <c r="C67" s="70"/>
      <c r="D67" s="1"/>
      <c r="E67" s="2"/>
      <c r="F67" s="2"/>
      <c r="G67" s="96">
        <f t="shared" si="1"/>
        <v>0</v>
      </c>
      <c r="H67" t="str">
        <f>Table8[[#This Row],[Program Code]]&amp;Table8[[#This Row],[Approved Service Provided]]&amp;Table8[[#This Row],[County of Service]]</f>
        <v/>
      </c>
      <c r="I67" t="str">
        <f>IF(Table8[[#This Row],[Waiver]]="State SLS", "8", IF(Table8[[#This Row],[Waiver]]="OBRA", "9", ""))</f>
        <v/>
      </c>
      <c r="J67" t="str">
        <f>IFERROR(VLOOKUP(Table8[[#This Row],[Combined]],'Optimax Rates'!D:E,2,FALSE),"")</f>
        <v/>
      </c>
      <c r="K67" t="str">
        <f>TEXT(Table8[[#This Row],[Date of Service]],"m/dd/yyyy ")&amp;" "&amp;TEXT(Table8[[#This Row],[Time In HH:MM AM/PM]],"hh:mm")</f>
        <v>1/00/1900  00:00</v>
      </c>
      <c r="L67" t="str">
        <f>TEXT(Table8[[#This Row],[Date of Service]],"m/dd/yyyy ")&amp;" "&amp;TEXT(Table8[[#This Row],[Time Out HH:MM AM/PM]],"hh:mm")</f>
        <v>1/00/1900  00:00</v>
      </c>
      <c r="M67" t="b" cm="1">
        <f t="array" ref="M67">SUMPRODUCT((Table8[[#This Row],[Formula3]]&lt;$L$7:$L$70)*(Table8[[#This Row],[Formula4]]&gt;=$K$7:$K$70))&gt;1</f>
        <v>0</v>
      </c>
      <c r="N67" s="92">
        <f>Table8[[#This Row],[Time Out HH:MM AM/PM]]-Table8[[#This Row],[Time In HH:MM AM/PM]]</f>
        <v>0</v>
      </c>
      <c r="O67" s="93" t="str">
        <f>TEXT(Table8[[#This Row],[Formula 1]],"HH:MM")</f>
        <v>00:00</v>
      </c>
      <c r="P67" s="93" t="str">
        <f>LEFT(Table8[[#This Row],[Formula 2]],SEARCH(":",Table8[[#This Row],[Formula 2]])-1)</f>
        <v>00</v>
      </c>
      <c r="Q67" s="93" t="str">
        <f>RIGHT(Table8[[#This Row],[Formula 2]],SEARCH(":",Table8[[#This Row],[Formula 2]])-1)</f>
        <v>00</v>
      </c>
      <c r="R67" s="93">
        <f>Table8[[#This Row],[Hours]]*60+Table8[[#This Row],[Minutes]]</f>
        <v>0</v>
      </c>
      <c r="S67" s="94" t="str">
        <f>IF(ISBLANK(Table8[[#This Row],[Approved Service Provided]]),"",IF(OR(Table8[[#This Row],[Formula2]]="DAYS",Table8[[#This Row],[Formula2]]="TRIP"),1,ROUNDDOWN((Table8[[#This Row],[Total Minutes]]+7)/15,0)))</f>
        <v/>
      </c>
      <c r="T67" s="95" t="str">
        <f>IFERROR(VLOOKUP(Table8[[#This Row],[Combined]],'Optimax Rates'!D:G,4,FALSE),"")</f>
        <v/>
      </c>
      <c r="U67" s="95" t="str">
        <f>IF(Table8[[#This Row],[Rate]]="","",Table8[[#This Row],[Units]]*Table8[[#This Row],[Rate]])</f>
        <v/>
      </c>
      <c r="V67" s="154"/>
      <c r="W67" s="154"/>
      <c r="X67" s="154"/>
    </row>
    <row r="68" spans="1:25" ht="13.5" hidden="1" thickBot="1">
      <c r="A68" s="19"/>
      <c r="B68" s="16"/>
      <c r="C68" s="70"/>
      <c r="D68" s="1"/>
      <c r="E68" s="2"/>
      <c r="F68" s="2"/>
      <c r="G68" s="96">
        <f t="shared" si="1"/>
        <v>0</v>
      </c>
      <c r="H68" t="str">
        <f>Table8[[#This Row],[Program Code]]&amp;Table8[[#This Row],[Approved Service Provided]]&amp;Table8[[#This Row],[County of Service]]</f>
        <v/>
      </c>
      <c r="I68" t="str">
        <f>IF(Table8[[#This Row],[Waiver]]="State SLS", "8", IF(Table8[[#This Row],[Waiver]]="OBRA", "9", ""))</f>
        <v/>
      </c>
      <c r="J68" t="str">
        <f>IFERROR(VLOOKUP(Table8[[#This Row],[Combined]],'Optimax Rates'!D:E,2,FALSE),"")</f>
        <v/>
      </c>
      <c r="K68" t="str">
        <f>TEXT(Table8[[#This Row],[Date of Service]],"m/dd/yyyy ")&amp;" "&amp;TEXT(Table8[[#This Row],[Time In HH:MM AM/PM]],"hh:mm")</f>
        <v>1/00/1900  00:00</v>
      </c>
      <c r="L68" t="str">
        <f>TEXT(Table8[[#This Row],[Date of Service]],"m/dd/yyyy ")&amp;" "&amp;TEXT(Table8[[#This Row],[Time Out HH:MM AM/PM]],"hh:mm")</f>
        <v>1/00/1900  00:00</v>
      </c>
      <c r="M68" t="b" cm="1">
        <f t="array" ref="M68">SUMPRODUCT((Table8[[#This Row],[Formula3]]&lt;$L$7:$L$70)*(Table8[[#This Row],[Formula4]]&gt;=$K$7:$K$70))&gt;1</f>
        <v>0</v>
      </c>
      <c r="N68" s="92">
        <f>Table8[[#This Row],[Time Out HH:MM AM/PM]]-Table8[[#This Row],[Time In HH:MM AM/PM]]</f>
        <v>0</v>
      </c>
      <c r="O68" s="93" t="str">
        <f>TEXT(Table8[[#This Row],[Formula 1]],"HH:MM")</f>
        <v>00:00</v>
      </c>
      <c r="P68" s="93" t="str">
        <f>LEFT(Table8[[#This Row],[Formula 2]],SEARCH(":",Table8[[#This Row],[Formula 2]])-1)</f>
        <v>00</v>
      </c>
      <c r="Q68" s="93" t="str">
        <f>RIGHT(Table8[[#This Row],[Formula 2]],SEARCH(":",Table8[[#This Row],[Formula 2]])-1)</f>
        <v>00</v>
      </c>
      <c r="R68" s="93">
        <f>Table8[[#This Row],[Hours]]*60+Table8[[#This Row],[Minutes]]</f>
        <v>0</v>
      </c>
      <c r="S68" s="94" t="str">
        <f>IF(ISBLANK(Table8[[#This Row],[Approved Service Provided]]),"",IF(OR(Table8[[#This Row],[Formula2]]="DAYS",Table8[[#This Row],[Formula2]]="TRIP"),1,ROUNDDOWN((Table8[[#This Row],[Total Minutes]]+7)/15,0)))</f>
        <v/>
      </c>
      <c r="T68" s="95" t="str">
        <f>IFERROR(VLOOKUP(Table8[[#This Row],[Combined]],'Optimax Rates'!D:G,4,FALSE),"")</f>
        <v/>
      </c>
      <c r="U68" s="95" t="str">
        <f>IF(Table8[[#This Row],[Rate]]="","",Table8[[#This Row],[Units]]*Table8[[#This Row],[Rate]])</f>
        <v/>
      </c>
      <c r="V68" s="154"/>
      <c r="W68" s="154"/>
      <c r="X68" s="154"/>
    </row>
    <row r="69" spans="1:25" ht="13.5" hidden="1" thickBot="1">
      <c r="A69" s="19"/>
      <c r="B69" s="16"/>
      <c r="C69" s="70"/>
      <c r="D69" s="1"/>
      <c r="E69" s="2"/>
      <c r="F69" s="2"/>
      <c r="G69" s="96">
        <f t="shared" si="1"/>
        <v>0</v>
      </c>
      <c r="H69" t="str">
        <f>Table8[[#This Row],[Program Code]]&amp;Table8[[#This Row],[Approved Service Provided]]&amp;Table8[[#This Row],[County of Service]]</f>
        <v/>
      </c>
      <c r="I69" t="str">
        <f>IF(Table8[[#This Row],[Waiver]]="State SLS", "8", IF(Table8[[#This Row],[Waiver]]="OBRA", "9", ""))</f>
        <v/>
      </c>
      <c r="J69" t="str">
        <f>IFERROR(VLOOKUP(Table8[[#This Row],[Combined]],'Optimax Rates'!D:E,2,FALSE),"")</f>
        <v/>
      </c>
      <c r="K69" t="str">
        <f>TEXT(Table8[[#This Row],[Date of Service]],"m/dd/yyyy ")&amp;" "&amp;TEXT(Table8[[#This Row],[Time In HH:MM AM/PM]],"hh:mm")</f>
        <v>1/00/1900  00:00</v>
      </c>
      <c r="L69" t="str">
        <f>TEXT(Table8[[#This Row],[Date of Service]],"m/dd/yyyy ")&amp;" "&amp;TEXT(Table8[[#This Row],[Time Out HH:MM AM/PM]],"hh:mm")</f>
        <v>1/00/1900  00:00</v>
      </c>
      <c r="M69" t="b" cm="1">
        <f t="array" ref="M69">SUMPRODUCT((Table8[[#This Row],[Formula3]]&lt;$L$7:$L$70)*(Table8[[#This Row],[Formula4]]&gt;=$K$7:$K$70))&gt;1</f>
        <v>0</v>
      </c>
      <c r="N69" s="92">
        <f>Table8[[#This Row],[Time Out HH:MM AM/PM]]-Table8[[#This Row],[Time In HH:MM AM/PM]]</f>
        <v>0</v>
      </c>
      <c r="O69" s="93" t="str">
        <f>TEXT(Table8[[#This Row],[Formula 1]],"HH:MM")</f>
        <v>00:00</v>
      </c>
      <c r="P69" s="93" t="str">
        <f>LEFT(Table8[[#This Row],[Formula 2]],SEARCH(":",Table8[[#This Row],[Formula 2]])-1)</f>
        <v>00</v>
      </c>
      <c r="Q69" s="93" t="str">
        <f>RIGHT(Table8[[#This Row],[Formula 2]],SEARCH(":",Table8[[#This Row],[Formula 2]])-1)</f>
        <v>00</v>
      </c>
      <c r="R69" s="93">
        <f>Table8[[#This Row],[Hours]]*60+Table8[[#This Row],[Minutes]]</f>
        <v>0</v>
      </c>
      <c r="S69" s="94" t="str">
        <f>IF(ISBLANK(Table8[[#This Row],[Approved Service Provided]]),"",IF(OR(Table8[[#This Row],[Formula2]]="DAYS",Table8[[#This Row],[Formula2]]="TRIP"),1,ROUNDDOWN((Table8[[#This Row],[Total Minutes]]+7)/15,0)))</f>
        <v/>
      </c>
      <c r="T69" s="95" t="str">
        <f>IFERROR(VLOOKUP(Table8[[#This Row],[Combined]],'Optimax Rates'!D:G,4,FALSE),"")</f>
        <v/>
      </c>
      <c r="U69" s="95" t="str">
        <f>IF(Table8[[#This Row],[Rate]]="","",Table8[[#This Row],[Units]]*Table8[[#This Row],[Rate]])</f>
        <v/>
      </c>
      <c r="V69" s="154"/>
      <c r="W69" s="154"/>
      <c r="X69" s="154"/>
    </row>
    <row r="70" spans="1:25" hidden="1">
      <c r="A70" s="19"/>
      <c r="B70" s="16"/>
      <c r="C70" s="70"/>
      <c r="D70" s="1"/>
      <c r="E70" s="2"/>
      <c r="F70" s="2"/>
      <c r="G70" s="96">
        <f t="shared" si="1"/>
        <v>0</v>
      </c>
      <c r="H70" t="str">
        <f>Table8[[#This Row],[Program Code]]&amp;Table8[[#This Row],[Approved Service Provided]]&amp;Table8[[#This Row],[County of Service]]</f>
        <v/>
      </c>
      <c r="I70" t="str">
        <f>IF(Table8[[#This Row],[Waiver]]="State SLS", "8", IF(Table8[[#This Row],[Waiver]]="OBRA", "9", ""))</f>
        <v/>
      </c>
      <c r="J70" t="str">
        <f>IFERROR(VLOOKUP(Table8[[#This Row],[Combined]],'Optimax Rates'!D:E,2,FALSE),"")</f>
        <v/>
      </c>
      <c r="K70" t="str">
        <f>TEXT(Table8[[#This Row],[Date of Service]],"m/dd/yyyy ")&amp;" "&amp;TEXT(Table8[[#This Row],[Time In HH:MM AM/PM]],"hh:mm")</f>
        <v>1/00/1900  00:00</v>
      </c>
      <c r="L70" t="str">
        <f>TEXT(Table8[[#This Row],[Date of Service]],"m/dd/yyyy ")&amp;" "&amp;TEXT(Table8[[#This Row],[Time Out HH:MM AM/PM]],"hh:mm")</f>
        <v>1/00/1900  00:00</v>
      </c>
      <c r="M70" t="b" cm="1">
        <f t="array" ref="M70">SUMPRODUCT((Table8[[#This Row],[Formula3]]&lt;$L$7:$L$70)*(Table8[[#This Row],[Formula4]]&gt;=$K$7:$K$70))&gt;1</f>
        <v>0</v>
      </c>
      <c r="N70" s="92">
        <f>Table8[[#This Row],[Time Out HH:MM AM/PM]]-Table8[[#This Row],[Time In HH:MM AM/PM]]</f>
        <v>0</v>
      </c>
      <c r="O70" s="93" t="str">
        <f>TEXT(Table8[[#This Row],[Formula 1]],"HH:MM")</f>
        <v>00:00</v>
      </c>
      <c r="P70" s="93" t="str">
        <f>LEFT(Table8[[#This Row],[Formula 2]],SEARCH(":",Table8[[#This Row],[Formula 2]])-1)</f>
        <v>00</v>
      </c>
      <c r="Q70" s="93" t="str">
        <f>RIGHT(Table8[[#This Row],[Formula 2]],SEARCH(":",Table8[[#This Row],[Formula 2]])-1)</f>
        <v>00</v>
      </c>
      <c r="R70" s="93">
        <f>Table8[[#This Row],[Hours]]*60+Table8[[#This Row],[Minutes]]</f>
        <v>0</v>
      </c>
      <c r="S70" s="94" t="str">
        <f>IF(ISBLANK(Table8[[#This Row],[Approved Service Provided]]),"",IF(OR(Table8[[#This Row],[Formula2]]="DAYS",Table8[[#This Row],[Formula2]]="TRIP"),1,ROUNDDOWN((Table8[[#This Row],[Total Minutes]]+7)/15,0)))</f>
        <v/>
      </c>
      <c r="T70" s="95" t="str">
        <f>IFERROR(VLOOKUP(Table8[[#This Row],[Combined]],'Optimax Rates'!D:G,4,FALSE),"")</f>
        <v/>
      </c>
      <c r="U70" s="95" t="str">
        <f>IF(Table8[[#This Row],[Rate]]="","",Table8[[#This Row],[Units]]*Table8[[#This Row],[Rate]])</f>
        <v/>
      </c>
      <c r="V70" s="154"/>
      <c r="W70" s="154"/>
      <c r="X70" s="154"/>
    </row>
    <row r="71" spans="1:25" hidden="1">
      <c r="A71" s="81"/>
      <c r="B71" s="82"/>
      <c r="C71" s="83"/>
      <c r="D71" s="83"/>
      <c r="E71" s="83"/>
      <c r="F71" s="83" t="s">
        <v>22</v>
      </c>
      <c r="G71" s="160"/>
      <c r="H71" s="97"/>
      <c r="I71" s="97"/>
      <c r="J71" s="97"/>
      <c r="K71" s="97"/>
      <c r="L71" s="97"/>
      <c r="M71" s="97"/>
      <c r="N71" s="97"/>
      <c r="O71" s="97"/>
      <c r="P71" s="97"/>
      <c r="Q71" s="97"/>
      <c r="R71" s="98">
        <f>SUBTOTAL(109,Table8[Total Minutes])</f>
        <v>0</v>
      </c>
      <c r="S71" s="99">
        <f>SUBTOTAL(109,Table8[Units])</f>
        <v>0</v>
      </c>
      <c r="T71" s="100"/>
      <c r="U71" s="101">
        <f>SUBTOTAL(109,Table8[Total Amount])</f>
        <v>0</v>
      </c>
      <c r="V71" s="154"/>
      <c r="W71" s="154"/>
      <c r="X71" s="154"/>
    </row>
    <row r="72" spans="1:25" ht="15.75" customHeight="1">
      <c r="A72" s="169" t="s">
        <v>23</v>
      </c>
      <c r="B72" s="170"/>
      <c r="C72" s="170"/>
      <c r="D72" s="170"/>
      <c r="E72" s="170"/>
      <c r="F72" s="170"/>
      <c r="G72" s="170"/>
      <c r="H72" s="170"/>
      <c r="I72" s="170"/>
      <c r="J72" s="170"/>
      <c r="K72" s="170"/>
      <c r="L72" s="170"/>
      <c r="M72" s="170"/>
      <c r="N72" s="170"/>
      <c r="O72" s="170"/>
      <c r="P72" s="170"/>
      <c r="Q72" s="170"/>
      <c r="R72" s="170"/>
      <c r="S72" s="170"/>
      <c r="T72" s="170"/>
      <c r="U72" s="170"/>
      <c r="V72" s="149"/>
      <c r="W72" s="149"/>
      <c r="X72" s="149"/>
      <c r="Y72" s="149"/>
    </row>
    <row r="73" spans="1:25" ht="27.75" customHeight="1">
      <c r="A73" s="171" t="s">
        <v>24</v>
      </c>
      <c r="B73" s="172"/>
      <c r="C73" s="172"/>
      <c r="D73" s="172"/>
      <c r="E73" s="172"/>
      <c r="F73" s="172"/>
      <c r="G73" s="172"/>
      <c r="H73" s="172"/>
      <c r="I73" s="172"/>
      <c r="J73" s="172"/>
      <c r="K73" s="172"/>
      <c r="L73" s="172"/>
      <c r="M73" s="172"/>
      <c r="N73" s="172"/>
      <c r="O73" s="172"/>
      <c r="P73" s="172"/>
      <c r="Q73" s="172"/>
      <c r="R73" s="172"/>
      <c r="S73" s="172"/>
      <c r="T73" s="172"/>
      <c r="U73" s="172"/>
      <c r="V73" s="150"/>
      <c r="W73" s="150"/>
      <c r="X73" s="150"/>
      <c r="Y73" s="150"/>
    </row>
    <row r="74" spans="1:25">
      <c r="A74" s="38" t="s">
        <v>25</v>
      </c>
      <c r="B74" s="40"/>
      <c r="C74" s="41"/>
      <c r="D74" s="42"/>
      <c r="E74" s="37"/>
      <c r="F74" s="66"/>
      <c r="G74" s="37"/>
      <c r="H74" s="37"/>
      <c r="I74" s="37"/>
      <c r="J74" s="37"/>
      <c r="K74" s="37"/>
      <c r="L74" s="37"/>
      <c r="M74" s="37"/>
      <c r="N74" s="37"/>
      <c r="O74" s="43"/>
      <c r="P74" s="43"/>
      <c r="Q74" s="43"/>
      <c r="R74" s="43"/>
      <c r="S74" s="43"/>
      <c r="T74" s="43"/>
    </row>
    <row r="75" spans="1:25" ht="14.25">
      <c r="A75" s="38" t="s">
        <v>26</v>
      </c>
      <c r="B75" s="49"/>
      <c r="C75" s="48" t="s">
        <v>27</v>
      </c>
      <c r="D75" s="173"/>
      <c r="E75" s="173"/>
      <c r="F75" s="173"/>
      <c r="G75" s="173"/>
      <c r="H75" s="173"/>
      <c r="I75" s="173"/>
      <c r="J75" s="173"/>
      <c r="K75" s="173"/>
      <c r="L75" s="173"/>
      <c r="M75" s="173"/>
      <c r="N75" s="173"/>
      <c r="O75" s="173"/>
      <c r="P75" s="173"/>
      <c r="Q75" s="173"/>
      <c r="R75" s="173"/>
      <c r="S75" s="173"/>
      <c r="T75" s="173"/>
    </row>
    <row r="76" spans="1:25" ht="9" customHeight="1" thickBot="1">
      <c r="A76" s="39"/>
      <c r="B76" s="44"/>
      <c r="C76" s="45"/>
      <c r="D76" s="46"/>
      <c r="E76" s="44"/>
      <c r="F76" s="67"/>
      <c r="G76" s="44"/>
      <c r="H76" s="44"/>
      <c r="I76" s="44"/>
      <c r="J76" s="44"/>
      <c r="K76" s="44"/>
      <c r="L76" s="44"/>
      <c r="M76" s="44"/>
      <c r="N76" s="44"/>
      <c r="O76" s="47"/>
      <c r="P76" s="47"/>
      <c r="Q76" s="47"/>
      <c r="R76" s="47"/>
      <c r="S76" s="47"/>
      <c r="T76" s="47"/>
      <c r="U76" s="36"/>
    </row>
    <row r="77" spans="1:25">
      <c r="A77" s="31" t="s">
        <v>159</v>
      </c>
      <c r="B77" s="32"/>
      <c r="C77" s="33"/>
      <c r="D77" s="34"/>
    </row>
    <row r="78" spans="1:25" s="148" customFormat="1" ht="12" thickBot="1">
      <c r="A78" s="141" t="s">
        <v>160</v>
      </c>
      <c r="B78" s="142"/>
      <c r="C78" s="143"/>
      <c r="D78" s="144"/>
      <c r="E78" s="145"/>
      <c r="F78" s="146"/>
      <c r="G78" s="145"/>
      <c r="H78" s="145"/>
      <c r="I78" s="145"/>
      <c r="J78" s="145"/>
      <c r="K78" s="145"/>
      <c r="L78" s="145"/>
      <c r="M78" s="145"/>
      <c r="N78" s="145"/>
      <c r="O78" s="147"/>
      <c r="P78" s="147"/>
      <c r="Q78" s="147"/>
      <c r="R78" s="147"/>
    </row>
    <row r="79" spans="1:25">
      <c r="A79" s="162" t="s">
        <v>161</v>
      </c>
      <c r="B79" s="163"/>
      <c r="C79" s="163"/>
      <c r="D79" s="163"/>
      <c r="E79" s="163"/>
      <c r="F79" s="163"/>
      <c r="G79" s="163"/>
      <c r="H79" s="163"/>
      <c r="I79" s="163"/>
      <c r="J79" s="163"/>
      <c r="K79" s="163"/>
      <c r="L79" s="163"/>
      <c r="M79" s="163"/>
      <c r="N79" s="163"/>
      <c r="O79" s="163"/>
      <c r="P79" s="163"/>
      <c r="Q79" s="163"/>
      <c r="R79" s="163"/>
      <c r="S79" s="163"/>
      <c r="T79" s="163"/>
      <c r="U79" s="163"/>
      <c r="V79" s="155"/>
      <c r="W79" s="155"/>
      <c r="X79" s="155"/>
      <c r="Y79" s="155"/>
    </row>
    <row r="80" spans="1:25" ht="41.25" customHeight="1" thickBot="1">
      <c r="A80" s="164"/>
      <c r="B80" s="165"/>
      <c r="C80" s="165"/>
      <c r="D80" s="165"/>
      <c r="E80" s="165"/>
      <c r="F80" s="165"/>
      <c r="G80" s="165"/>
      <c r="H80" s="165"/>
      <c r="I80" s="165"/>
      <c r="J80" s="165"/>
      <c r="K80" s="165"/>
      <c r="L80" s="165"/>
      <c r="M80" s="165"/>
      <c r="N80" s="165"/>
      <c r="O80" s="165"/>
      <c r="P80" s="165"/>
      <c r="Q80" s="165"/>
      <c r="R80" s="165"/>
      <c r="S80" s="165"/>
      <c r="T80" s="165"/>
      <c r="U80" s="165"/>
      <c r="V80" s="155"/>
      <c r="W80" s="155"/>
      <c r="X80" s="155"/>
      <c r="Y80" s="155"/>
    </row>
    <row r="81" spans="1:1">
      <c r="A81" s="3"/>
    </row>
  </sheetData>
  <sheetProtection algorithmName="SHA-512" hashValue="FdmECciU6iYUCF1BFzvFNHJjY9M2iNDdC40n5Qey4ks6OAVbk16nULW9P6k7329ellGBEKfXBiLb4YIgkuA5Uw==" saltValue="r+iXYvU0OwmppWoLTc+gWA==" spinCount="100000" sheet="1" formatColumns="0" formatRows="0" sort="0" autoFilter="0"/>
  <dataConsolidate/>
  <mergeCells count="9">
    <mergeCell ref="A79:U80"/>
    <mergeCell ref="A1:U1"/>
    <mergeCell ref="A72:U72"/>
    <mergeCell ref="A73:U73"/>
    <mergeCell ref="D75:T75"/>
    <mergeCell ref="D3:T3"/>
    <mergeCell ref="D4:T4"/>
    <mergeCell ref="D2:T2"/>
    <mergeCell ref="U2:U5"/>
  </mergeCells>
  <phoneticPr fontId="2" type="noConversion"/>
  <conditionalFormatting sqref="C72:C1048576 C3:C5 D6 C1">
    <cfRule type="duplicateValues" dxfId="22" priority="4"/>
  </conditionalFormatting>
  <conditionalFormatting sqref="E7:F70">
    <cfRule type="expression" dxfId="21" priority="1">
      <formula>$M7=TRUE</formula>
    </cfRule>
  </conditionalFormatting>
  <dataValidations xWindow="483" yWindow="841" count="10">
    <dataValidation allowBlank="1" showInputMessage="1" showErrorMessage="1" promptTitle="Approved Service Provided" prompt="All services must be authorized and invoiced according to the approved frequency. The customer’s Service Coordinator should be contacted if the current plan does not meet the customer’s needs. Retro revisions are not permitted." sqref="A6" xr:uid="{7B883730-023C-4A60-9C2F-908656A33369}"/>
    <dataValidation allowBlank="1" showInputMessage="1" showErrorMessage="1" promptTitle="Detailed Description of Service" prompt="Contact notes must be thorough, detailed, and accurately reflect the service that was provided. Notes must show that service definitions are being met. Verify that all the text is visible. You can manually resize the row height if needed." sqref="B6" xr:uid="{924B1F20-F601-41D4-BC1A-F3A5EF760187}"/>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C6" xr:uid="{3E740551-8DF0-41B7-AC18-736E2A82D504}"/>
    <dataValidation allowBlank="1" showInputMessage="1" showErrorMessage="1" promptTitle="Add More Rows" prompt="Rows can be added/removed by right-clicking on the line number(s) and selecting &quot;Unhide&quot; or &quot;Hide&quot; within the table (lines 7-70). Multiple lines can be selected at once." sqref="A72:Y78"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A1:Y1" xr:uid="{37ED6909-0D47-4850-9238-0457815878E0}"/>
    <dataValidation allowBlank="1" showInputMessage="1" promptTitle="Time Format" prompt="Please enter in the format HH:MM AM/PM. A space is needed between MM and AM/PM" sqref="G7:G70" xr:uid="{BF141E29-3564-4ACF-80B8-4726EF880E71}"/>
    <dataValidation allowBlank="1" showInputMessage="1" showErrorMessage="1" promptTitle="Rate" prompt="The rate will calculate based on the client's waiver and SIS level" sqref="T6:T70" xr:uid="{79A948D7-88BD-476C-BDFC-F33AD1CD196B}"/>
    <dataValidation allowBlank="1" showInputMessage="1" showErrorMessage="1" promptTitle="Units" prompt="Units will be calculated from in/out times for most codes. Daily codes/trips will automatically calculate to one unit. Multiple lines may be billed on the same day for to/from trips." sqref="S6:S70" xr:uid="{2A08E69A-C778-4A4D-B790-87B0A540DCFA}"/>
    <dataValidation allowBlank="1" showInputMessage="1" promptTitle="Time Format" prompt="Please enter in the format HH:MM AM/PM. A space is needed between mins and AM/PM.Overlapping dates/times will highlight in red and should be corrected." sqref="E6:F70" xr:uid="{C2400EEE-1AB9-444D-AC68-A6055F49B8C1}"/>
    <dataValidation type="date" errorStyle="warning" allowBlank="1" showInputMessage="1" showErrorMessage="1" errorTitle="Verify Template" error="This template is for DOS between 7/1/25 and 6/30/26. You have entered a date prior to 7/1/25. Please confirm you are using the correct template. Updated templates can be found on the RMHS website" sqref="D7:D70" xr:uid="{0FF21E95-2F95-4F81-B952-7C6147418B62}">
      <formula1>45839</formula1>
      <formula2>46203</formula2>
    </dataValidation>
  </dataValidations>
  <pageMargins left="0.5" right="0.5" top="0.5" bottom="0" header="0.25" footer="0.5"/>
  <pageSetup paperSize="5" scale="88" fitToHeight="0" orientation="landscape" r:id="rId1"/>
  <headerFooter scaleWithDoc="0" alignWithMargins="0">
    <oddHeader>Page &amp;P of &amp;N</oddHeader>
  </headerFooter>
  <drawing r:id="rId2"/>
  <tableParts count="1">
    <tablePart r:id="rId3"/>
  </tableParts>
  <extLst>
    <ext xmlns:x14="http://schemas.microsoft.com/office/spreadsheetml/2009/9/main" uri="{CCE6A557-97BC-4b89-ADB6-D9C93CAAB3DF}">
      <x14:dataValidations xmlns:xm="http://schemas.microsoft.com/office/excel/2006/main" xWindow="483" yWindow="841" count="3">
        <x14:dataValidation type="list" showInputMessage="1" showErrorMessage="1" xr:uid="{16969832-80A4-447E-A308-AEA873B9BA6F}">
          <x14:formula1>
            <xm:f>'Drop Downs'!$B$1:$B$2</xm:f>
          </x14:formula1>
          <xm:sqref>D3:T3</xm:sqref>
        </x14:dataValidation>
        <x14:dataValidation type="list" allowBlank="1" showInputMessage="1" xr:uid="{BFEE1468-6595-4987-AD97-36255A5C87ED}">
          <x14:formula1>
            <xm:f>'Drop Downs'!$A:$A</xm:f>
          </x14:formula1>
          <xm:sqref>A7:A70</xm:sqref>
        </x14:dataValidation>
        <x14:dataValidation type="list" allowBlank="1" showInputMessage="1" showErrorMessage="1" xr:uid="{1F0C0207-3AB7-45EB-BE62-1A44E4AC640A}">
          <x14:formula1>
            <xm:f>'Drop Downs'!$C:$C</xm:f>
          </x14:formula1>
          <xm:sqref>C7:C70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H115"/>
  <sheetViews>
    <sheetView zoomScale="120" zoomScaleNormal="120" workbookViewId="0">
      <selection sqref="A1:H106"/>
    </sheetView>
  </sheetViews>
  <sheetFormatPr defaultRowHeight="12.75"/>
  <cols>
    <col min="1" max="1" width="32" customWidth="1"/>
    <col min="2" max="2" width="24" customWidth="1"/>
    <col min="3" max="3" width="26.5703125" customWidth="1"/>
    <col min="4" max="4" width="35.5703125" customWidth="1"/>
    <col min="5" max="5" width="24" customWidth="1"/>
    <col min="6" max="6" width="24" style="64" customWidth="1"/>
    <col min="8" max="8" width="18.5703125" customWidth="1"/>
  </cols>
  <sheetData>
    <row r="1" spans="1:8">
      <c r="A1" s="15" t="s">
        <v>28</v>
      </c>
      <c r="B1" s="15" t="s">
        <v>154</v>
      </c>
      <c r="C1" s="15" t="s">
        <v>29</v>
      </c>
      <c r="D1" s="15" t="s">
        <v>157</v>
      </c>
      <c r="E1" s="15" t="s">
        <v>30</v>
      </c>
      <c r="F1" s="15" t="s">
        <v>31</v>
      </c>
      <c r="G1" s="158" t="s">
        <v>32</v>
      </c>
      <c r="H1" s="15" t="s">
        <v>33</v>
      </c>
    </row>
    <row r="2" spans="1:8">
      <c r="A2" t="s">
        <v>34</v>
      </c>
      <c r="C2" s="72" t="s">
        <v>72</v>
      </c>
      <c r="D2" s="74" t="str">
        <f t="shared" ref="D2:D33" si="0">C2&amp;B2</f>
        <v>8Behavioral Consultation</v>
      </c>
      <c r="E2" s="72" t="s">
        <v>35</v>
      </c>
      <c r="F2" s="72"/>
      <c r="G2" s="73">
        <v>28.5</v>
      </c>
      <c r="H2" s="108">
        <v>45839</v>
      </c>
    </row>
    <row r="3" spans="1:8">
      <c r="A3" t="s">
        <v>34</v>
      </c>
      <c r="C3" s="72" t="s">
        <v>98</v>
      </c>
      <c r="D3" s="74" t="str">
        <f t="shared" si="0"/>
        <v>9Behavioral Consultation</v>
      </c>
      <c r="E3" s="72" t="s">
        <v>35</v>
      </c>
      <c r="F3" s="72"/>
      <c r="G3" s="73">
        <v>28.5</v>
      </c>
      <c r="H3" s="108">
        <v>45839</v>
      </c>
    </row>
    <row r="4" spans="1:8">
      <c r="A4" s="15" t="s">
        <v>34</v>
      </c>
      <c r="B4" s="15" t="s">
        <v>152</v>
      </c>
      <c r="C4" s="72" t="s">
        <v>72</v>
      </c>
      <c r="D4" s="74" t="str">
        <f t="shared" si="0"/>
        <v>8Behavioral ConsultationNon-Denver</v>
      </c>
      <c r="E4" s="72" t="s">
        <v>35</v>
      </c>
      <c r="F4" s="72"/>
      <c r="G4" s="73">
        <v>28.5</v>
      </c>
      <c r="H4" s="108">
        <v>45839</v>
      </c>
    </row>
    <row r="5" spans="1:8">
      <c r="A5" t="s">
        <v>34</v>
      </c>
      <c r="B5" s="15" t="s">
        <v>152</v>
      </c>
      <c r="C5" s="72" t="s">
        <v>98</v>
      </c>
      <c r="D5" s="74" t="str">
        <f t="shared" si="0"/>
        <v>9Behavioral ConsultationNon-Denver</v>
      </c>
      <c r="E5" s="72" t="s">
        <v>35</v>
      </c>
      <c r="F5" s="72"/>
      <c r="G5" s="73">
        <v>28.5</v>
      </c>
      <c r="H5" s="108">
        <v>45839</v>
      </c>
    </row>
    <row r="6" spans="1:8">
      <c r="A6" s="15" t="s">
        <v>34</v>
      </c>
      <c r="B6" s="15" t="s">
        <v>151</v>
      </c>
      <c r="C6" s="72" t="s">
        <v>72</v>
      </c>
      <c r="D6" s="74" t="str">
        <f t="shared" si="0"/>
        <v>8Behavioral ConsultationDenver</v>
      </c>
      <c r="E6" s="72" t="s">
        <v>35</v>
      </c>
      <c r="F6" s="72"/>
      <c r="G6" s="73">
        <v>28.5</v>
      </c>
      <c r="H6" s="108">
        <v>45839</v>
      </c>
    </row>
    <row r="7" spans="1:8">
      <c r="A7" t="s">
        <v>34</v>
      </c>
      <c r="B7" s="15" t="s">
        <v>151</v>
      </c>
      <c r="C7" s="72" t="s">
        <v>98</v>
      </c>
      <c r="D7" s="74" t="str">
        <f t="shared" si="0"/>
        <v>9Behavioral ConsultationDenver</v>
      </c>
      <c r="E7" s="72" t="s">
        <v>35</v>
      </c>
      <c r="F7" s="72"/>
      <c r="G7" s="73">
        <v>28.5</v>
      </c>
      <c r="H7" s="108">
        <v>45839</v>
      </c>
    </row>
    <row r="8" spans="1:8">
      <c r="A8" t="s">
        <v>36</v>
      </c>
      <c r="C8" s="72" t="s">
        <v>99</v>
      </c>
      <c r="D8" s="74" t="str">
        <f t="shared" si="0"/>
        <v>9Behavioral Counseling-Group</v>
      </c>
      <c r="E8" s="72" t="s">
        <v>35</v>
      </c>
      <c r="F8" s="72"/>
      <c r="G8" s="73">
        <v>9.6199999999999992</v>
      </c>
      <c r="H8" s="108">
        <v>45839</v>
      </c>
    </row>
    <row r="9" spans="1:8">
      <c r="A9" t="s">
        <v>36</v>
      </c>
      <c r="C9" s="72" t="s">
        <v>73</v>
      </c>
      <c r="D9" s="74" t="str">
        <f t="shared" si="0"/>
        <v>8Behavioral Counseling-Group</v>
      </c>
      <c r="E9" s="72" t="s">
        <v>35</v>
      </c>
      <c r="F9" s="72"/>
      <c r="G9" s="73">
        <v>9.6199999999999992</v>
      </c>
      <c r="H9" s="108">
        <v>45839</v>
      </c>
    </row>
    <row r="10" spans="1:8">
      <c r="A10" t="s">
        <v>36</v>
      </c>
      <c r="B10" s="15" t="s">
        <v>152</v>
      </c>
      <c r="C10" s="72" t="s">
        <v>73</v>
      </c>
      <c r="D10" s="74" t="str">
        <f t="shared" si="0"/>
        <v>8Behavioral Counseling-GroupNon-Denver</v>
      </c>
      <c r="E10" s="72" t="s">
        <v>35</v>
      </c>
      <c r="F10" s="72"/>
      <c r="G10" s="73">
        <v>9.6199999999999992</v>
      </c>
      <c r="H10" s="108">
        <v>45839</v>
      </c>
    </row>
    <row r="11" spans="1:8">
      <c r="A11" t="s">
        <v>36</v>
      </c>
      <c r="B11" s="15" t="s">
        <v>152</v>
      </c>
      <c r="C11" s="72" t="s">
        <v>99</v>
      </c>
      <c r="D11" s="74" t="str">
        <f t="shared" si="0"/>
        <v>9Behavioral Counseling-GroupNon-Denver</v>
      </c>
      <c r="E11" s="72" t="s">
        <v>35</v>
      </c>
      <c r="F11" s="72"/>
      <c r="G11" s="73">
        <v>9.6199999999999992</v>
      </c>
      <c r="H11" s="108">
        <v>45839</v>
      </c>
    </row>
    <row r="12" spans="1:8">
      <c r="A12" t="s">
        <v>36</v>
      </c>
      <c r="B12" s="15" t="s">
        <v>151</v>
      </c>
      <c r="C12" s="72" t="s">
        <v>73</v>
      </c>
      <c r="D12" s="74" t="str">
        <f t="shared" si="0"/>
        <v>8Behavioral Counseling-GroupDenver</v>
      </c>
      <c r="E12" s="72" t="s">
        <v>35</v>
      </c>
      <c r="F12" s="72"/>
      <c r="G12" s="73">
        <v>9.6199999999999992</v>
      </c>
      <c r="H12" s="108">
        <v>45839</v>
      </c>
    </row>
    <row r="13" spans="1:8">
      <c r="A13" t="s">
        <v>36</v>
      </c>
      <c r="B13" s="15" t="s">
        <v>151</v>
      </c>
      <c r="C13" s="72" t="s">
        <v>99</v>
      </c>
      <c r="D13" s="74" t="str">
        <f t="shared" si="0"/>
        <v>9Behavioral Counseling-GroupDenver</v>
      </c>
      <c r="E13" s="72" t="s">
        <v>35</v>
      </c>
      <c r="F13" s="72"/>
      <c r="G13" s="73">
        <v>9.6199999999999992</v>
      </c>
      <c r="H13" s="108">
        <v>45839</v>
      </c>
    </row>
    <row r="14" spans="1:8">
      <c r="A14" t="s">
        <v>37</v>
      </c>
      <c r="C14" s="72" t="s">
        <v>74</v>
      </c>
      <c r="D14" s="74" t="str">
        <f t="shared" si="0"/>
        <v>8Behavioral Counseling-Individual</v>
      </c>
      <c r="E14" s="72" t="s">
        <v>35</v>
      </c>
      <c r="F14" s="72"/>
      <c r="G14" s="73">
        <v>28.5</v>
      </c>
      <c r="H14" s="108">
        <v>45839</v>
      </c>
    </row>
    <row r="15" spans="1:8">
      <c r="A15" t="s">
        <v>37</v>
      </c>
      <c r="B15" s="15" t="s">
        <v>152</v>
      </c>
      <c r="C15" s="72" t="s">
        <v>74</v>
      </c>
      <c r="D15" s="74" t="str">
        <f t="shared" si="0"/>
        <v>8Behavioral Counseling-IndividualNon-Denver</v>
      </c>
      <c r="E15" s="72" t="s">
        <v>35</v>
      </c>
      <c r="F15" s="72"/>
      <c r="G15" s="73">
        <v>28.5</v>
      </c>
      <c r="H15" s="108">
        <v>45839</v>
      </c>
    </row>
    <row r="16" spans="1:8">
      <c r="A16" t="s">
        <v>37</v>
      </c>
      <c r="C16" s="72" t="s">
        <v>100</v>
      </c>
      <c r="D16" s="74" t="str">
        <f t="shared" si="0"/>
        <v>9Behavioral Counseling-Individual</v>
      </c>
      <c r="E16" s="72" t="s">
        <v>35</v>
      </c>
      <c r="F16" s="72"/>
      <c r="G16" s="73">
        <v>28.5</v>
      </c>
      <c r="H16" s="108">
        <v>45839</v>
      </c>
    </row>
    <row r="17" spans="1:8">
      <c r="A17" t="s">
        <v>37</v>
      </c>
      <c r="B17" s="15" t="s">
        <v>151</v>
      </c>
      <c r="C17" s="72" t="s">
        <v>74</v>
      </c>
      <c r="D17" s="74" t="str">
        <f t="shared" si="0"/>
        <v>8Behavioral Counseling-IndividualDenver</v>
      </c>
      <c r="E17" s="72" t="s">
        <v>35</v>
      </c>
      <c r="F17" s="72"/>
      <c r="G17" s="73">
        <v>28.5</v>
      </c>
      <c r="H17" s="108">
        <v>45839</v>
      </c>
    </row>
    <row r="18" spans="1:8">
      <c r="A18" t="s">
        <v>37</v>
      </c>
      <c r="B18" s="15" t="s">
        <v>152</v>
      </c>
      <c r="C18" s="72" t="s">
        <v>100</v>
      </c>
      <c r="D18" s="74" t="str">
        <f t="shared" si="0"/>
        <v>9Behavioral Counseling-IndividualNon-Denver</v>
      </c>
      <c r="E18" s="72" t="s">
        <v>35</v>
      </c>
      <c r="F18" s="72"/>
      <c r="G18" s="73">
        <v>28.5</v>
      </c>
      <c r="H18" s="108">
        <v>45839</v>
      </c>
    </row>
    <row r="19" spans="1:8">
      <c r="A19" t="s">
        <v>37</v>
      </c>
      <c r="B19" s="15" t="s">
        <v>151</v>
      </c>
      <c r="C19" s="72" t="s">
        <v>100</v>
      </c>
      <c r="D19" s="74" t="str">
        <f t="shared" si="0"/>
        <v>9Behavioral Counseling-IndividualDenver</v>
      </c>
      <c r="E19" s="72" t="s">
        <v>35</v>
      </c>
      <c r="F19" s="72"/>
      <c r="G19" s="73">
        <v>28.5</v>
      </c>
      <c r="H19" s="108">
        <v>45839</v>
      </c>
    </row>
    <row r="20" spans="1:8">
      <c r="A20" t="s">
        <v>38</v>
      </c>
      <c r="C20" s="72" t="s">
        <v>75</v>
      </c>
      <c r="D20" s="74" t="str">
        <f t="shared" si="0"/>
        <v>8Behavioral Line Staff</v>
      </c>
      <c r="E20" s="72" t="s">
        <v>35</v>
      </c>
      <c r="F20" s="72"/>
      <c r="G20" s="73">
        <v>8.08</v>
      </c>
      <c r="H20" s="108">
        <v>45839</v>
      </c>
    </row>
    <row r="21" spans="1:8" ht="13.5" customHeight="1">
      <c r="A21" t="s">
        <v>38</v>
      </c>
      <c r="B21" s="15" t="s">
        <v>152</v>
      </c>
      <c r="C21" s="72" t="s">
        <v>75</v>
      </c>
      <c r="D21" s="74" t="str">
        <f t="shared" si="0"/>
        <v>8Behavioral Line StaffNon-Denver</v>
      </c>
      <c r="E21" s="72" t="s">
        <v>35</v>
      </c>
      <c r="F21" s="72"/>
      <c r="G21" s="73">
        <v>8.08</v>
      </c>
      <c r="H21" s="108">
        <v>45839</v>
      </c>
    </row>
    <row r="22" spans="1:8">
      <c r="A22" t="s">
        <v>38</v>
      </c>
      <c r="B22" s="15" t="s">
        <v>151</v>
      </c>
      <c r="C22" s="72" t="s">
        <v>75</v>
      </c>
      <c r="D22" s="74" t="str">
        <f t="shared" si="0"/>
        <v>8Behavioral Line StaffDenver</v>
      </c>
      <c r="E22" s="72" t="s">
        <v>35</v>
      </c>
      <c r="F22" s="72"/>
      <c r="G22" s="73">
        <v>8.08</v>
      </c>
      <c r="H22" s="108">
        <v>45839</v>
      </c>
    </row>
    <row r="23" spans="1:8">
      <c r="A23" t="s">
        <v>39</v>
      </c>
      <c r="C23" s="72" t="s">
        <v>101</v>
      </c>
      <c r="D23" s="74" t="str">
        <f t="shared" si="0"/>
        <v>9Behavioral Plan Assessment</v>
      </c>
      <c r="E23" s="72" t="s">
        <v>35</v>
      </c>
      <c r="F23" s="72"/>
      <c r="G23" s="73">
        <v>28.5</v>
      </c>
      <c r="H23" s="108">
        <v>45839</v>
      </c>
    </row>
    <row r="24" spans="1:8">
      <c r="A24" t="s">
        <v>39</v>
      </c>
      <c r="B24" s="15" t="s">
        <v>152</v>
      </c>
      <c r="C24" s="72" t="s">
        <v>101</v>
      </c>
      <c r="D24" s="74" t="str">
        <f t="shared" si="0"/>
        <v>9Behavioral Plan AssessmentNon-Denver</v>
      </c>
      <c r="E24" s="72" t="s">
        <v>35</v>
      </c>
      <c r="F24" s="72"/>
      <c r="G24" s="73">
        <v>28.5</v>
      </c>
      <c r="H24" s="108">
        <v>45839</v>
      </c>
    </row>
    <row r="25" spans="1:8">
      <c r="A25" t="s">
        <v>39</v>
      </c>
      <c r="C25" s="72" t="s">
        <v>76</v>
      </c>
      <c r="D25" s="74" t="str">
        <f t="shared" si="0"/>
        <v>8Behavioral Plan Assessment</v>
      </c>
      <c r="E25" s="72" t="s">
        <v>35</v>
      </c>
      <c r="F25" s="72"/>
      <c r="G25" s="73">
        <v>28.5</v>
      </c>
      <c r="H25" s="108">
        <v>45839</v>
      </c>
    </row>
    <row r="26" spans="1:8">
      <c r="A26" t="s">
        <v>39</v>
      </c>
      <c r="B26" s="15" t="s">
        <v>152</v>
      </c>
      <c r="C26" s="72" t="s">
        <v>76</v>
      </c>
      <c r="D26" s="74" t="str">
        <f t="shared" si="0"/>
        <v>8Behavioral Plan AssessmentNon-Denver</v>
      </c>
      <c r="E26" s="72" t="s">
        <v>35</v>
      </c>
      <c r="F26" s="72"/>
      <c r="G26" s="73">
        <v>28.5</v>
      </c>
      <c r="H26" s="108">
        <v>45839</v>
      </c>
    </row>
    <row r="27" spans="1:8">
      <c r="A27" t="s">
        <v>39</v>
      </c>
      <c r="B27" s="15" t="s">
        <v>151</v>
      </c>
      <c r="C27" s="72" t="s">
        <v>76</v>
      </c>
      <c r="D27" s="74" t="str">
        <f t="shared" si="0"/>
        <v>8Behavioral Plan AssessmentDenver</v>
      </c>
      <c r="E27" s="72" t="s">
        <v>35</v>
      </c>
      <c r="F27" s="72"/>
      <c r="G27" s="73">
        <v>28.5</v>
      </c>
      <c r="H27" s="108">
        <v>45839</v>
      </c>
    </row>
    <row r="28" spans="1:8">
      <c r="A28" t="s">
        <v>39</v>
      </c>
      <c r="B28" s="15" t="s">
        <v>151</v>
      </c>
      <c r="C28" s="72" t="s">
        <v>101</v>
      </c>
      <c r="D28" s="74" t="str">
        <f t="shared" si="0"/>
        <v>9Behavioral Plan AssessmentDenver</v>
      </c>
      <c r="E28" s="72" t="s">
        <v>35</v>
      </c>
      <c r="F28" s="72"/>
      <c r="G28" s="73">
        <v>28.5</v>
      </c>
      <c r="H28" s="108">
        <v>45839</v>
      </c>
    </row>
    <row r="29" spans="1:8">
      <c r="A29" t="s">
        <v>40</v>
      </c>
      <c r="C29" s="72" t="s">
        <v>77</v>
      </c>
      <c r="D29" s="74" t="str">
        <f t="shared" si="0"/>
        <v>8Homemaker-Basic</v>
      </c>
      <c r="E29" s="72" t="s">
        <v>35</v>
      </c>
      <c r="F29" s="72"/>
      <c r="G29" s="73">
        <v>6.6</v>
      </c>
      <c r="H29" s="108">
        <v>45839</v>
      </c>
    </row>
    <row r="30" spans="1:8">
      <c r="A30" t="s">
        <v>40</v>
      </c>
      <c r="B30" s="15" t="s">
        <v>152</v>
      </c>
      <c r="C30" s="72" t="s">
        <v>77</v>
      </c>
      <c r="D30" s="74" t="str">
        <f t="shared" si="0"/>
        <v>8Homemaker-BasicNon-Denver</v>
      </c>
      <c r="E30" s="72" t="s">
        <v>35</v>
      </c>
      <c r="F30" s="72"/>
      <c r="G30" s="73">
        <v>6.6</v>
      </c>
      <c r="H30" s="108">
        <v>45839</v>
      </c>
    </row>
    <row r="31" spans="1:8">
      <c r="A31" t="s">
        <v>40</v>
      </c>
      <c r="B31" s="15" t="s">
        <v>151</v>
      </c>
      <c r="C31" s="72" t="s">
        <v>77</v>
      </c>
      <c r="D31" s="74" t="str">
        <f t="shared" si="0"/>
        <v>8Homemaker-BasicDenver</v>
      </c>
      <c r="E31" s="72" t="s">
        <v>35</v>
      </c>
      <c r="F31" s="72"/>
      <c r="G31" s="73">
        <v>6.99</v>
      </c>
      <c r="H31" s="108">
        <v>45839</v>
      </c>
    </row>
    <row r="32" spans="1:8">
      <c r="A32" t="s">
        <v>41</v>
      </c>
      <c r="C32" s="72" t="s">
        <v>78</v>
      </c>
      <c r="D32" s="74" t="str">
        <f t="shared" si="0"/>
        <v>8Homemaker-Enhanced</v>
      </c>
      <c r="E32" s="72" t="s">
        <v>35</v>
      </c>
      <c r="F32" s="72"/>
      <c r="G32" s="73">
        <v>8.59</v>
      </c>
      <c r="H32" s="108">
        <v>45839</v>
      </c>
    </row>
    <row r="33" spans="1:8">
      <c r="A33" t="s">
        <v>41</v>
      </c>
      <c r="B33" s="15" t="s">
        <v>152</v>
      </c>
      <c r="C33" s="72" t="s">
        <v>78</v>
      </c>
      <c r="D33" s="74" t="str">
        <f t="shared" si="0"/>
        <v>8Homemaker-EnhancedNon-Denver</v>
      </c>
      <c r="E33" s="72" t="s">
        <v>35</v>
      </c>
      <c r="F33" s="72"/>
      <c r="G33" s="73">
        <v>8.59</v>
      </c>
      <c r="H33" s="108">
        <v>45839</v>
      </c>
    </row>
    <row r="34" spans="1:8">
      <c r="A34" t="s">
        <v>41</v>
      </c>
      <c r="B34" s="15" t="s">
        <v>151</v>
      </c>
      <c r="C34" s="72" t="s">
        <v>78</v>
      </c>
      <c r="D34" s="74" t="str">
        <f t="shared" ref="D34:D64" si="1">C34&amp;B34</f>
        <v>8Homemaker-EnhancedDenver</v>
      </c>
      <c r="E34" s="72" t="s">
        <v>35</v>
      </c>
      <c r="F34" s="72"/>
      <c r="G34" s="73">
        <v>8.94</v>
      </c>
      <c r="H34" s="108">
        <v>45839</v>
      </c>
    </row>
    <row r="35" spans="1:8">
      <c r="A35" t="s">
        <v>42</v>
      </c>
      <c r="C35" s="72" t="s">
        <v>102</v>
      </c>
      <c r="D35" s="74" t="str">
        <f t="shared" si="1"/>
        <v>9Job Coaching-Group</v>
      </c>
      <c r="E35" s="72" t="s">
        <v>35</v>
      </c>
      <c r="F35" s="72"/>
      <c r="G35" s="73">
        <v>9.67</v>
      </c>
      <c r="H35" s="108">
        <v>45839</v>
      </c>
    </row>
    <row r="36" spans="1:8">
      <c r="A36" t="s">
        <v>42</v>
      </c>
      <c r="B36" s="15" t="s">
        <v>152</v>
      </c>
      <c r="C36" s="72" t="s">
        <v>102</v>
      </c>
      <c r="D36" s="74" t="str">
        <f t="shared" si="1"/>
        <v>9Job Coaching-GroupNon-Denver</v>
      </c>
      <c r="E36" s="72" t="s">
        <v>35</v>
      </c>
      <c r="F36" s="72"/>
      <c r="G36" s="73">
        <v>9.67</v>
      </c>
      <c r="H36" s="108">
        <v>45839</v>
      </c>
    </row>
    <row r="37" spans="1:8">
      <c r="A37" t="s">
        <v>42</v>
      </c>
      <c r="C37" s="72" t="s">
        <v>79</v>
      </c>
      <c r="D37" s="74" t="str">
        <f t="shared" si="1"/>
        <v>8Job Coaching-Group</v>
      </c>
      <c r="E37" s="72" t="s">
        <v>35</v>
      </c>
      <c r="F37" s="72"/>
      <c r="G37" s="73">
        <v>6.63</v>
      </c>
      <c r="H37" s="108">
        <v>45839</v>
      </c>
    </row>
    <row r="38" spans="1:8">
      <c r="A38" t="s">
        <v>42</v>
      </c>
      <c r="B38" s="15" t="s">
        <v>152</v>
      </c>
      <c r="C38" s="72" t="s">
        <v>79</v>
      </c>
      <c r="D38" s="74" t="str">
        <f t="shared" si="1"/>
        <v>8Job Coaching-GroupNon-Denver</v>
      </c>
      <c r="E38" s="72" t="s">
        <v>35</v>
      </c>
      <c r="F38" s="72"/>
      <c r="G38" s="73">
        <v>6.63</v>
      </c>
      <c r="H38" s="108">
        <v>45839</v>
      </c>
    </row>
    <row r="39" spans="1:8">
      <c r="A39" t="s">
        <v>42</v>
      </c>
      <c r="B39" s="15" t="s">
        <v>151</v>
      </c>
      <c r="C39" s="72" t="s">
        <v>79</v>
      </c>
      <c r="D39" s="74" t="str">
        <f t="shared" si="1"/>
        <v>8Job Coaching-GroupDenver</v>
      </c>
      <c r="E39" s="72" t="s">
        <v>35</v>
      </c>
      <c r="F39" s="72"/>
      <c r="G39" s="73">
        <v>6.97</v>
      </c>
      <c r="H39" s="108">
        <v>45839</v>
      </c>
    </row>
    <row r="40" spans="1:8">
      <c r="A40" t="s">
        <v>42</v>
      </c>
      <c r="B40" s="15" t="s">
        <v>151</v>
      </c>
      <c r="C40" s="72" t="s">
        <v>102</v>
      </c>
      <c r="D40" s="74" t="str">
        <f t="shared" si="1"/>
        <v>9Job Coaching-GroupDenver</v>
      </c>
      <c r="E40" s="72" t="s">
        <v>35</v>
      </c>
      <c r="F40" s="72"/>
      <c r="G40" s="73">
        <v>10.01</v>
      </c>
      <c r="H40" s="108">
        <v>45839</v>
      </c>
    </row>
    <row r="41" spans="1:8">
      <c r="A41" t="s">
        <v>43</v>
      </c>
      <c r="C41" s="72" t="s">
        <v>103</v>
      </c>
      <c r="D41" s="74" t="str">
        <f t="shared" si="1"/>
        <v>9Job Coaching-Individual</v>
      </c>
      <c r="E41" s="72" t="s">
        <v>35</v>
      </c>
      <c r="F41" s="72"/>
      <c r="G41" s="73">
        <v>17.07</v>
      </c>
      <c r="H41" s="108">
        <v>45839</v>
      </c>
    </row>
    <row r="42" spans="1:8">
      <c r="A42" t="s">
        <v>43</v>
      </c>
      <c r="C42" s="72" t="s">
        <v>80</v>
      </c>
      <c r="D42" s="74" t="str">
        <f t="shared" si="1"/>
        <v>8Job Coaching-Individual</v>
      </c>
      <c r="E42" s="72" t="s">
        <v>35</v>
      </c>
      <c r="F42" s="72"/>
      <c r="G42" s="73">
        <v>17.07</v>
      </c>
      <c r="H42" s="108">
        <v>45839</v>
      </c>
    </row>
    <row r="43" spans="1:8">
      <c r="A43" t="s">
        <v>43</v>
      </c>
      <c r="B43" s="15" t="s">
        <v>152</v>
      </c>
      <c r="C43" s="72" t="s">
        <v>80</v>
      </c>
      <c r="D43" s="74" t="str">
        <f t="shared" si="1"/>
        <v>8Job Coaching-IndividualNon-Denver</v>
      </c>
      <c r="E43" s="72" t="s">
        <v>35</v>
      </c>
      <c r="F43" s="72"/>
      <c r="G43" s="73">
        <v>17.07</v>
      </c>
      <c r="H43" s="108">
        <v>45839</v>
      </c>
    </row>
    <row r="44" spans="1:8">
      <c r="A44" t="s">
        <v>43</v>
      </c>
      <c r="B44" s="15" t="s">
        <v>151</v>
      </c>
      <c r="C44" s="72" t="s">
        <v>80</v>
      </c>
      <c r="D44" s="74" t="str">
        <f t="shared" si="1"/>
        <v>8Job Coaching-IndividualDenver</v>
      </c>
      <c r="E44" s="72" t="s">
        <v>35</v>
      </c>
      <c r="F44" s="72"/>
      <c r="G44" s="73">
        <v>17.399999999999999</v>
      </c>
      <c r="H44" s="108">
        <v>45839</v>
      </c>
    </row>
    <row r="45" spans="1:8">
      <c r="A45" t="s">
        <v>43</v>
      </c>
      <c r="B45" s="15" t="s">
        <v>151</v>
      </c>
      <c r="C45" s="72" t="s">
        <v>103</v>
      </c>
      <c r="D45" s="74" t="str">
        <f t="shared" si="1"/>
        <v>9Job Coaching-IndividualDenver</v>
      </c>
      <c r="E45" s="72" t="s">
        <v>35</v>
      </c>
      <c r="F45" s="72"/>
      <c r="G45" s="73">
        <v>17.399999999999999</v>
      </c>
      <c r="H45" s="108">
        <v>45839</v>
      </c>
    </row>
    <row r="46" spans="1:8">
      <c r="A46" t="s">
        <v>43</v>
      </c>
      <c r="B46" s="15" t="s">
        <v>152</v>
      </c>
      <c r="C46" s="72" t="s">
        <v>103</v>
      </c>
      <c r="D46" s="74" t="str">
        <f t="shared" si="1"/>
        <v>9Job Coaching-IndividualNon-Denver</v>
      </c>
      <c r="E46" s="72" t="s">
        <v>35</v>
      </c>
      <c r="F46" s="72"/>
      <c r="G46" s="73">
        <v>17.07</v>
      </c>
      <c r="H46" s="108">
        <v>45839</v>
      </c>
    </row>
    <row r="47" spans="1:8">
      <c r="A47" t="s">
        <v>44</v>
      </c>
      <c r="C47" s="72" t="s">
        <v>81</v>
      </c>
      <c r="D47" s="74" t="str">
        <f t="shared" si="1"/>
        <v>8Job Development-Group</v>
      </c>
      <c r="E47" s="72" t="s">
        <v>35</v>
      </c>
      <c r="F47" s="72"/>
      <c r="G47" s="73">
        <v>6.28</v>
      </c>
      <c r="H47" s="108">
        <v>45839</v>
      </c>
    </row>
    <row r="48" spans="1:8">
      <c r="A48" t="s">
        <v>44</v>
      </c>
      <c r="B48" s="15" t="s">
        <v>152</v>
      </c>
      <c r="C48" s="72" t="s">
        <v>81</v>
      </c>
      <c r="D48" s="74" t="str">
        <f t="shared" si="1"/>
        <v>8Job Development-GroupNon-Denver</v>
      </c>
      <c r="E48" s="72" t="s">
        <v>35</v>
      </c>
      <c r="F48" s="72"/>
      <c r="G48" s="73">
        <v>6.28</v>
      </c>
      <c r="H48" s="108">
        <v>45839</v>
      </c>
    </row>
    <row r="49" spans="1:8">
      <c r="A49" t="s">
        <v>44</v>
      </c>
      <c r="B49" s="15" t="s">
        <v>151</v>
      </c>
      <c r="C49" s="72" t="s">
        <v>81</v>
      </c>
      <c r="D49" s="74" t="str">
        <f t="shared" si="1"/>
        <v>8Job Development-GroupDenver</v>
      </c>
      <c r="E49" s="72" t="s">
        <v>35</v>
      </c>
      <c r="F49" s="72"/>
      <c r="G49" s="73">
        <v>6.6</v>
      </c>
      <c r="H49" s="108">
        <v>45839</v>
      </c>
    </row>
    <row r="50" spans="1:8">
      <c r="A50" t="s">
        <v>44</v>
      </c>
      <c r="B50" s="15" t="s">
        <v>151</v>
      </c>
      <c r="C50" s="72" t="s">
        <v>104</v>
      </c>
      <c r="D50" s="74" t="str">
        <f t="shared" si="1"/>
        <v>9Job Development-GroupDenver</v>
      </c>
      <c r="E50" s="72" t="s">
        <v>35</v>
      </c>
      <c r="F50" s="72"/>
      <c r="G50" s="73">
        <v>6.6</v>
      </c>
      <c r="H50" s="108">
        <v>45839</v>
      </c>
    </row>
    <row r="51" spans="1:8">
      <c r="A51" t="s">
        <v>44</v>
      </c>
      <c r="C51" s="72" t="s">
        <v>104</v>
      </c>
      <c r="D51" s="74" t="str">
        <f t="shared" si="1"/>
        <v>9Job Development-Group</v>
      </c>
      <c r="E51" s="72" t="s">
        <v>35</v>
      </c>
      <c r="F51" s="72"/>
      <c r="G51" s="73">
        <v>6.28</v>
      </c>
      <c r="H51" s="108">
        <v>45839</v>
      </c>
    </row>
    <row r="52" spans="1:8">
      <c r="A52" t="s">
        <v>44</v>
      </c>
      <c r="B52" s="15" t="s">
        <v>152</v>
      </c>
      <c r="C52" s="72" t="s">
        <v>104</v>
      </c>
      <c r="D52" s="74" t="str">
        <f t="shared" si="1"/>
        <v>9Job Development-GroupNon-Denver</v>
      </c>
      <c r="E52" s="72" t="s">
        <v>35</v>
      </c>
      <c r="F52" s="72"/>
      <c r="G52" s="73">
        <v>6.28</v>
      </c>
      <c r="H52" s="108">
        <v>45839</v>
      </c>
    </row>
    <row r="53" spans="1:8">
      <c r="A53" t="s">
        <v>45</v>
      </c>
      <c r="C53" s="72" t="s">
        <v>82</v>
      </c>
      <c r="D53" s="74" t="str">
        <f t="shared" si="1"/>
        <v>8Job Development-Individual</v>
      </c>
      <c r="E53" s="72" t="s">
        <v>35</v>
      </c>
      <c r="F53" s="72"/>
      <c r="G53" s="73">
        <v>17.07</v>
      </c>
      <c r="H53" s="108">
        <v>45839</v>
      </c>
    </row>
    <row r="54" spans="1:8">
      <c r="A54" t="s">
        <v>45</v>
      </c>
      <c r="B54" s="15" t="s">
        <v>152</v>
      </c>
      <c r="C54" s="72" t="s">
        <v>82</v>
      </c>
      <c r="D54" s="74" t="str">
        <f t="shared" si="1"/>
        <v>8Job Development-IndividualNon-Denver</v>
      </c>
      <c r="E54" s="72" t="s">
        <v>35</v>
      </c>
      <c r="F54" s="72"/>
      <c r="G54" s="73">
        <v>17.07</v>
      </c>
      <c r="H54" s="108">
        <v>45839</v>
      </c>
    </row>
    <row r="55" spans="1:8">
      <c r="A55" t="s">
        <v>45</v>
      </c>
      <c r="B55" s="15" t="s">
        <v>151</v>
      </c>
      <c r="C55" s="72" t="s">
        <v>82</v>
      </c>
      <c r="D55" s="74" t="str">
        <f t="shared" si="1"/>
        <v>8Job Development-IndividualDenver</v>
      </c>
      <c r="E55" s="72" t="s">
        <v>35</v>
      </c>
      <c r="F55" s="72"/>
      <c r="G55" s="73">
        <v>17.399999999999999</v>
      </c>
      <c r="H55" s="108">
        <v>45839</v>
      </c>
    </row>
    <row r="56" spans="1:8">
      <c r="A56" t="s">
        <v>45</v>
      </c>
      <c r="B56" s="15" t="s">
        <v>151</v>
      </c>
      <c r="C56" s="72" t="s">
        <v>105</v>
      </c>
      <c r="D56" s="74" t="str">
        <f t="shared" si="1"/>
        <v>9Job Development-IndividualDenver</v>
      </c>
      <c r="E56" s="72" t="s">
        <v>35</v>
      </c>
      <c r="F56" s="72"/>
      <c r="G56" s="73">
        <v>17.399999999999999</v>
      </c>
      <c r="H56" s="108">
        <v>45839</v>
      </c>
    </row>
    <row r="57" spans="1:8">
      <c r="A57" t="s">
        <v>45</v>
      </c>
      <c r="C57" s="72" t="s">
        <v>105</v>
      </c>
      <c r="D57" s="74" t="str">
        <f t="shared" si="1"/>
        <v>9Job Development-Individual</v>
      </c>
      <c r="E57" s="72" t="s">
        <v>35</v>
      </c>
      <c r="F57" s="72"/>
      <c r="G57" s="73">
        <v>17.07</v>
      </c>
      <c r="H57" s="108">
        <v>45839</v>
      </c>
    </row>
    <row r="58" spans="1:8">
      <c r="A58" t="s">
        <v>45</v>
      </c>
      <c r="B58" s="15" t="s">
        <v>152</v>
      </c>
      <c r="C58" s="72" t="s">
        <v>105</v>
      </c>
      <c r="D58" s="74" t="str">
        <f t="shared" si="1"/>
        <v>9Job Development-IndividualNon-Denver</v>
      </c>
      <c r="E58" s="72" t="s">
        <v>35</v>
      </c>
      <c r="F58" s="72"/>
      <c r="G58" s="73">
        <v>17.07</v>
      </c>
      <c r="H58" s="108">
        <v>45839</v>
      </c>
    </row>
    <row r="59" spans="1:8">
      <c r="A59" t="s">
        <v>46</v>
      </c>
      <c r="C59" s="72" t="s">
        <v>83</v>
      </c>
      <c r="D59" s="74" t="str">
        <f t="shared" si="1"/>
        <v>8Massage Therapy</v>
      </c>
      <c r="E59" s="72" t="s">
        <v>35</v>
      </c>
      <c r="F59" s="72"/>
      <c r="G59" s="73">
        <v>21.32</v>
      </c>
      <c r="H59" s="108">
        <v>45839</v>
      </c>
    </row>
    <row r="60" spans="1:8">
      <c r="A60" t="s">
        <v>46</v>
      </c>
      <c r="B60" s="15" t="s">
        <v>152</v>
      </c>
      <c r="C60" s="72" t="s">
        <v>83</v>
      </c>
      <c r="D60" s="74" t="str">
        <f t="shared" si="1"/>
        <v>8Massage TherapyNon-Denver</v>
      </c>
      <c r="E60" s="72" t="s">
        <v>35</v>
      </c>
      <c r="F60" s="72"/>
      <c r="G60" s="73">
        <v>21.32</v>
      </c>
      <c r="H60" s="108">
        <v>45839</v>
      </c>
    </row>
    <row r="61" spans="1:8">
      <c r="A61" t="s">
        <v>46</v>
      </c>
      <c r="B61" s="15" t="s">
        <v>151</v>
      </c>
      <c r="C61" s="72" t="s">
        <v>83</v>
      </c>
      <c r="D61" s="74" t="str">
        <f t="shared" si="1"/>
        <v>8Massage TherapyDenver</v>
      </c>
      <c r="E61" s="72" t="s">
        <v>35</v>
      </c>
      <c r="F61" s="72"/>
      <c r="G61" s="73">
        <v>21.32</v>
      </c>
      <c r="H61" s="108">
        <v>45839</v>
      </c>
    </row>
    <row r="62" spans="1:8">
      <c r="A62" t="s">
        <v>47</v>
      </c>
      <c r="C62" s="72" t="s">
        <v>84</v>
      </c>
      <c r="D62" s="74" t="str">
        <f t="shared" si="1"/>
        <v>8Mentorship</v>
      </c>
      <c r="E62" s="72" t="s">
        <v>35</v>
      </c>
      <c r="F62" s="72"/>
      <c r="G62" s="73">
        <v>13.39</v>
      </c>
      <c r="H62" s="108">
        <v>45839</v>
      </c>
    </row>
    <row r="63" spans="1:8">
      <c r="A63" t="s">
        <v>47</v>
      </c>
      <c r="B63" s="15" t="s">
        <v>151</v>
      </c>
      <c r="C63" s="72" t="s">
        <v>84</v>
      </c>
      <c r="D63" s="74" t="str">
        <f t="shared" si="1"/>
        <v>8MentorshipDenver</v>
      </c>
      <c r="E63" s="72" t="s">
        <v>35</v>
      </c>
      <c r="F63" s="72"/>
      <c r="G63" s="73">
        <v>13.73</v>
      </c>
      <c r="H63" s="108">
        <v>45839</v>
      </c>
    </row>
    <row r="64" spans="1:8">
      <c r="A64" t="s">
        <v>47</v>
      </c>
      <c r="B64" s="15" t="s">
        <v>152</v>
      </c>
      <c r="C64" s="72" t="s">
        <v>84</v>
      </c>
      <c r="D64" s="74" t="str">
        <f t="shared" si="1"/>
        <v>8MentorshipNon-Denver</v>
      </c>
      <c r="E64" s="72" t="s">
        <v>35</v>
      </c>
      <c r="F64" s="72"/>
      <c r="G64" s="73">
        <v>13.39</v>
      </c>
      <c r="H64" s="108">
        <v>45839</v>
      </c>
    </row>
    <row r="65" spans="1:8">
      <c r="A65" t="s">
        <v>48</v>
      </c>
      <c r="B65" s="15" t="s">
        <v>151</v>
      </c>
      <c r="C65" s="72" t="s">
        <v>85</v>
      </c>
      <c r="D65" s="74" t="str">
        <f t="shared" ref="D65:D91" si="2">C65&amp;B65</f>
        <v>8Movement Therapy-BachelorsDenver</v>
      </c>
      <c r="E65" s="72" t="s">
        <v>35</v>
      </c>
      <c r="F65" s="72"/>
      <c r="G65" s="73">
        <v>17.78</v>
      </c>
      <c r="H65" s="108">
        <v>45839</v>
      </c>
    </row>
    <row r="66" spans="1:8">
      <c r="A66" t="s">
        <v>48</v>
      </c>
      <c r="C66" s="72" t="s">
        <v>85</v>
      </c>
      <c r="D66" s="74" t="str">
        <f t="shared" si="2"/>
        <v>8Movement Therapy-Bachelors</v>
      </c>
      <c r="E66" s="72" t="s">
        <v>35</v>
      </c>
      <c r="F66" s="72"/>
      <c r="G66" s="73">
        <v>17.78</v>
      </c>
      <c r="H66" s="108">
        <v>45839</v>
      </c>
    </row>
    <row r="67" spans="1:8">
      <c r="A67" t="s">
        <v>48</v>
      </c>
      <c r="B67" s="15" t="s">
        <v>152</v>
      </c>
      <c r="C67" s="72" t="s">
        <v>85</v>
      </c>
      <c r="D67" s="74" t="str">
        <f t="shared" si="2"/>
        <v>8Movement Therapy-BachelorsNon-Denver</v>
      </c>
      <c r="E67" s="72" t="s">
        <v>35</v>
      </c>
      <c r="F67" s="72"/>
      <c r="G67" s="73">
        <v>17.78</v>
      </c>
      <c r="H67" s="108">
        <v>45839</v>
      </c>
    </row>
    <row r="68" spans="1:8">
      <c r="A68" t="s">
        <v>49</v>
      </c>
      <c r="B68" s="15" t="s">
        <v>151</v>
      </c>
      <c r="C68" s="72" t="s">
        <v>86</v>
      </c>
      <c r="D68" s="74" t="str">
        <f t="shared" si="2"/>
        <v>8Movement Therapy-MastersDenver</v>
      </c>
      <c r="E68" s="72" t="s">
        <v>35</v>
      </c>
      <c r="F68" s="72"/>
      <c r="G68" s="73">
        <v>26.04</v>
      </c>
      <c r="H68" s="108">
        <v>45839</v>
      </c>
    </row>
    <row r="69" spans="1:8">
      <c r="A69" t="s">
        <v>49</v>
      </c>
      <c r="C69" s="72" t="s">
        <v>86</v>
      </c>
      <c r="D69" s="74" t="str">
        <f t="shared" si="2"/>
        <v>8Movement Therapy-Masters</v>
      </c>
      <c r="E69" s="72" t="s">
        <v>35</v>
      </c>
      <c r="F69" s="72"/>
      <c r="G69" s="73">
        <v>26.04</v>
      </c>
      <c r="H69" s="108">
        <v>45839</v>
      </c>
    </row>
    <row r="70" spans="1:8">
      <c r="A70" t="s">
        <v>49</v>
      </c>
      <c r="B70" s="15" t="s">
        <v>152</v>
      </c>
      <c r="C70" s="72" t="s">
        <v>86</v>
      </c>
      <c r="D70" s="74" t="str">
        <f t="shared" si="2"/>
        <v>8Movement Therapy-MastersNon-Denver</v>
      </c>
      <c r="E70" s="72" t="s">
        <v>35</v>
      </c>
      <c r="F70" s="72"/>
      <c r="G70" s="73">
        <v>26.04</v>
      </c>
      <c r="H70" s="108">
        <v>45839</v>
      </c>
    </row>
    <row r="71" spans="1:8">
      <c r="A71" t="s">
        <v>50</v>
      </c>
      <c r="B71" s="15" t="s">
        <v>151</v>
      </c>
      <c r="C71" s="72" t="s">
        <v>87</v>
      </c>
      <c r="D71" s="74" t="str">
        <f t="shared" si="2"/>
        <v>8Personal CareDenver</v>
      </c>
      <c r="E71" s="72" t="s">
        <v>35</v>
      </c>
      <c r="F71" s="72"/>
      <c r="G71" s="73">
        <v>7.38</v>
      </c>
      <c r="H71" s="108">
        <v>45839</v>
      </c>
    </row>
    <row r="72" spans="1:8">
      <c r="A72" t="s">
        <v>50</v>
      </c>
      <c r="C72" s="72" t="s">
        <v>87</v>
      </c>
      <c r="D72" s="74" t="str">
        <f t="shared" si="2"/>
        <v>8Personal Care</v>
      </c>
      <c r="E72" s="72" t="s">
        <v>35</v>
      </c>
      <c r="F72" s="72"/>
      <c r="G72" s="73">
        <v>7.07</v>
      </c>
      <c r="H72" s="108">
        <v>45839</v>
      </c>
    </row>
    <row r="73" spans="1:8">
      <c r="A73" t="s">
        <v>50</v>
      </c>
      <c r="B73" s="15" t="s">
        <v>152</v>
      </c>
      <c r="C73" s="72" t="s">
        <v>87</v>
      </c>
      <c r="D73" s="74" t="str">
        <f t="shared" si="2"/>
        <v>8Personal CareNon-Denver</v>
      </c>
      <c r="E73" s="72" t="s">
        <v>35</v>
      </c>
      <c r="F73" s="72"/>
      <c r="G73" s="73">
        <v>7.07</v>
      </c>
      <c r="H73" s="108">
        <v>45839</v>
      </c>
    </row>
    <row r="74" spans="1:8">
      <c r="A74" t="s">
        <v>51</v>
      </c>
      <c r="B74" s="15" t="s">
        <v>151</v>
      </c>
      <c r="C74" s="72" t="s">
        <v>88</v>
      </c>
      <c r="D74" s="74" t="str">
        <f t="shared" si="2"/>
        <v>8Prevocational ServicesDenver</v>
      </c>
      <c r="E74" s="72" t="s">
        <v>35</v>
      </c>
      <c r="F74" s="72"/>
      <c r="G74" s="73">
        <v>5.7</v>
      </c>
      <c r="H74" s="108">
        <v>45839</v>
      </c>
    </row>
    <row r="75" spans="1:8">
      <c r="A75" t="s">
        <v>51</v>
      </c>
      <c r="C75" s="72" t="s">
        <v>88</v>
      </c>
      <c r="D75" s="74" t="str">
        <f t="shared" si="2"/>
        <v>8Prevocational Services</v>
      </c>
      <c r="E75" s="72" t="s">
        <v>35</v>
      </c>
      <c r="F75" s="72"/>
      <c r="G75" s="73">
        <v>5.36</v>
      </c>
      <c r="H75" s="108">
        <v>45839</v>
      </c>
    </row>
    <row r="76" spans="1:8">
      <c r="A76" t="s">
        <v>51</v>
      </c>
      <c r="B76" s="15" t="s">
        <v>152</v>
      </c>
      <c r="C76" s="72" t="s">
        <v>88</v>
      </c>
      <c r="D76" s="74" t="str">
        <f t="shared" si="2"/>
        <v>8Prevocational ServicesNon-Denver</v>
      </c>
      <c r="E76" s="72" t="s">
        <v>35</v>
      </c>
      <c r="F76" s="72"/>
      <c r="G76" s="73">
        <v>5.36</v>
      </c>
      <c r="H76" s="108">
        <v>45839</v>
      </c>
    </row>
    <row r="77" spans="1:8">
      <c r="A77" t="s">
        <v>52</v>
      </c>
      <c r="B77" s="15" t="s">
        <v>151</v>
      </c>
      <c r="C77" s="72" t="s">
        <v>89</v>
      </c>
      <c r="D77" s="74" t="str">
        <f t="shared" si="2"/>
        <v>8Respite Individual-15 MinsDenver</v>
      </c>
      <c r="E77" s="72" t="s">
        <v>35</v>
      </c>
      <c r="F77" s="72"/>
      <c r="G77" s="73">
        <v>7.71</v>
      </c>
      <c r="H77" s="108">
        <v>45839</v>
      </c>
    </row>
    <row r="78" spans="1:8">
      <c r="A78" t="s">
        <v>52</v>
      </c>
      <c r="C78" s="72" t="s">
        <v>89</v>
      </c>
      <c r="D78" s="74" t="str">
        <f t="shared" si="2"/>
        <v>8Respite Individual-15 Mins</v>
      </c>
      <c r="E78" s="72" t="s">
        <v>35</v>
      </c>
      <c r="F78" s="72"/>
      <c r="G78" s="73">
        <v>7.39</v>
      </c>
      <c r="H78" s="108">
        <v>45839</v>
      </c>
    </row>
    <row r="79" spans="1:8">
      <c r="A79" t="s">
        <v>52</v>
      </c>
      <c r="B79" s="15" t="s">
        <v>152</v>
      </c>
      <c r="C79" s="72" t="s">
        <v>89</v>
      </c>
      <c r="D79" s="74" t="str">
        <f t="shared" si="2"/>
        <v>8Respite Individual-15 MinsNon-Denver</v>
      </c>
      <c r="E79" s="72" t="s">
        <v>35</v>
      </c>
      <c r="F79" s="72"/>
      <c r="G79" s="73">
        <v>7.39</v>
      </c>
      <c r="H79" s="108">
        <v>45839</v>
      </c>
    </row>
    <row r="80" spans="1:8">
      <c r="A80" s="15" t="s">
        <v>53</v>
      </c>
      <c r="B80" s="15" t="s">
        <v>151</v>
      </c>
      <c r="C80" s="72" t="s">
        <v>90</v>
      </c>
      <c r="D80" s="74" t="str">
        <f t="shared" si="2"/>
        <v>8Respite Individual-DayDenver</v>
      </c>
      <c r="E80" s="72" t="s">
        <v>71</v>
      </c>
      <c r="F80" s="72"/>
      <c r="G80" s="73">
        <v>339.23</v>
      </c>
      <c r="H80" s="108">
        <v>45839</v>
      </c>
    </row>
    <row r="81" spans="1:8">
      <c r="A81" s="15" t="s">
        <v>53</v>
      </c>
      <c r="B81" s="15"/>
      <c r="C81" s="72" t="s">
        <v>90</v>
      </c>
      <c r="D81" s="74" t="str">
        <f t="shared" si="2"/>
        <v>8Respite Individual-Day</v>
      </c>
      <c r="E81" s="72" t="s">
        <v>71</v>
      </c>
      <c r="F81" s="72"/>
      <c r="G81" s="73">
        <v>316.33</v>
      </c>
      <c r="H81" s="108">
        <v>45839</v>
      </c>
    </row>
    <row r="82" spans="1:8">
      <c r="A82" s="15" t="s">
        <v>53</v>
      </c>
      <c r="B82" s="15" t="s">
        <v>152</v>
      </c>
      <c r="C82" s="72" t="s">
        <v>90</v>
      </c>
      <c r="D82" s="74" t="str">
        <f t="shared" si="2"/>
        <v>8Respite Individual-DayNon-Denver</v>
      </c>
      <c r="E82" s="72" t="s">
        <v>71</v>
      </c>
      <c r="F82" s="72"/>
      <c r="G82" s="73">
        <v>316.33</v>
      </c>
      <c r="H82" s="108">
        <v>45839</v>
      </c>
    </row>
    <row r="83" spans="1:8">
      <c r="A83" t="s">
        <v>54</v>
      </c>
      <c r="B83" s="15" t="s">
        <v>151</v>
      </c>
      <c r="C83" s="72" t="s">
        <v>96</v>
      </c>
      <c r="D83" s="74" t="str">
        <f t="shared" si="2"/>
        <v>9Specialized HabilitationDenver</v>
      </c>
      <c r="E83" s="72" t="s">
        <v>35</v>
      </c>
      <c r="F83" s="72"/>
      <c r="G83" s="73">
        <v>8.91</v>
      </c>
      <c r="H83" s="108">
        <v>45839</v>
      </c>
    </row>
    <row r="84" spans="1:8">
      <c r="A84" t="s">
        <v>54</v>
      </c>
      <c r="B84" s="15" t="s">
        <v>151</v>
      </c>
      <c r="C84" s="72" t="s">
        <v>91</v>
      </c>
      <c r="D84" s="74" t="str">
        <f t="shared" si="2"/>
        <v>8Specialized HabilitationDenver</v>
      </c>
      <c r="E84" s="72" t="s">
        <v>35</v>
      </c>
      <c r="F84" s="72"/>
      <c r="G84" s="73">
        <v>5.7</v>
      </c>
      <c r="H84" s="108">
        <v>45839</v>
      </c>
    </row>
    <row r="85" spans="1:8">
      <c r="A85" t="s">
        <v>54</v>
      </c>
      <c r="C85" s="72" t="s">
        <v>96</v>
      </c>
      <c r="D85" s="74" t="str">
        <f t="shared" si="2"/>
        <v>9Specialized Habilitation</v>
      </c>
      <c r="E85" s="72" t="s">
        <v>35</v>
      </c>
      <c r="F85" s="72"/>
      <c r="G85" s="73">
        <v>8.58</v>
      </c>
      <c r="H85" s="108">
        <v>45839</v>
      </c>
    </row>
    <row r="86" spans="1:8">
      <c r="A86" t="s">
        <v>54</v>
      </c>
      <c r="C86" s="72" t="s">
        <v>91</v>
      </c>
      <c r="D86" s="74" t="str">
        <f t="shared" si="2"/>
        <v>8Specialized Habilitation</v>
      </c>
      <c r="E86" s="72" t="s">
        <v>35</v>
      </c>
      <c r="F86" s="72"/>
      <c r="G86" s="73">
        <v>5.36</v>
      </c>
      <c r="H86" s="108">
        <v>45839</v>
      </c>
    </row>
    <row r="87" spans="1:8">
      <c r="A87" t="s">
        <v>54</v>
      </c>
      <c r="B87" s="15" t="s">
        <v>152</v>
      </c>
      <c r="C87" s="72" t="s">
        <v>91</v>
      </c>
      <c r="D87" s="74" t="str">
        <f t="shared" si="2"/>
        <v>8Specialized HabilitationNon-Denver</v>
      </c>
      <c r="E87" s="72" t="s">
        <v>35</v>
      </c>
      <c r="F87" s="72"/>
      <c r="G87" s="73">
        <v>5.36</v>
      </c>
      <c r="H87" s="108">
        <v>45839</v>
      </c>
    </row>
    <row r="88" spans="1:8">
      <c r="A88" t="s">
        <v>54</v>
      </c>
      <c r="B88" s="15" t="s">
        <v>152</v>
      </c>
      <c r="C88" s="72" t="s">
        <v>96</v>
      </c>
      <c r="D88" s="74" t="str">
        <f t="shared" si="2"/>
        <v>9Specialized HabilitationNon-Denver</v>
      </c>
      <c r="E88" s="72" t="s">
        <v>35</v>
      </c>
      <c r="F88" s="72"/>
      <c r="G88" s="73">
        <v>8.58</v>
      </c>
      <c r="H88" s="108">
        <v>45839</v>
      </c>
    </row>
    <row r="89" spans="1:8">
      <c r="A89" t="s">
        <v>55</v>
      </c>
      <c r="B89" s="15" t="s">
        <v>151</v>
      </c>
      <c r="C89" s="72" t="s">
        <v>97</v>
      </c>
      <c r="D89" s="74" t="str">
        <f t="shared" si="2"/>
        <v>9Supported Community ConnectionsDenver</v>
      </c>
      <c r="E89" s="72" t="s">
        <v>35</v>
      </c>
      <c r="F89" s="72"/>
      <c r="G89" s="73">
        <v>9.41</v>
      </c>
      <c r="H89" s="108">
        <v>45839</v>
      </c>
    </row>
    <row r="90" spans="1:8">
      <c r="A90" t="s">
        <v>55</v>
      </c>
      <c r="B90" s="15" t="s">
        <v>151</v>
      </c>
      <c r="C90" s="72" t="s">
        <v>92</v>
      </c>
      <c r="D90" s="74" t="str">
        <f t="shared" si="2"/>
        <v>8Supported Community ConnectionsDenver</v>
      </c>
      <c r="E90" s="72" t="s">
        <v>35</v>
      </c>
      <c r="F90" s="72"/>
      <c r="G90" s="73">
        <v>6.5</v>
      </c>
      <c r="H90" s="108">
        <v>45839</v>
      </c>
    </row>
    <row r="91" spans="1:8">
      <c r="A91" t="s">
        <v>55</v>
      </c>
      <c r="C91" s="72" t="s">
        <v>92</v>
      </c>
      <c r="D91" s="74" t="str">
        <f t="shared" si="2"/>
        <v>8Supported Community Connections</v>
      </c>
      <c r="E91" s="72" t="s">
        <v>35</v>
      </c>
      <c r="F91" s="72"/>
      <c r="G91" s="73">
        <v>6.17</v>
      </c>
      <c r="H91" s="108">
        <v>45839</v>
      </c>
    </row>
    <row r="92" spans="1:8">
      <c r="A92" t="s">
        <v>55</v>
      </c>
      <c r="B92" s="15" t="s">
        <v>152</v>
      </c>
      <c r="C92" s="72" t="s">
        <v>92</v>
      </c>
      <c r="D92" s="74" t="str">
        <f t="shared" ref="D92:D104" si="3">C92&amp;B92</f>
        <v>8Supported Community ConnectionsNon-Denver</v>
      </c>
      <c r="E92" s="72" t="s">
        <v>35</v>
      </c>
      <c r="F92" s="72"/>
      <c r="G92" s="73">
        <v>6.17</v>
      </c>
      <c r="H92" s="108">
        <v>45839</v>
      </c>
    </row>
    <row r="93" spans="1:8">
      <c r="A93" t="s">
        <v>55</v>
      </c>
      <c r="C93" s="72" t="s">
        <v>97</v>
      </c>
      <c r="D93" s="74" t="str">
        <f t="shared" si="3"/>
        <v>9Supported Community Connections</v>
      </c>
      <c r="E93" s="72" t="s">
        <v>35</v>
      </c>
      <c r="F93" s="72"/>
      <c r="G93" s="73">
        <v>9.07</v>
      </c>
      <c r="H93" s="108">
        <v>45839</v>
      </c>
    </row>
    <row r="94" spans="1:8">
      <c r="A94" t="s">
        <v>55</v>
      </c>
      <c r="B94" s="15" t="s">
        <v>152</v>
      </c>
      <c r="C94" s="72" t="s">
        <v>97</v>
      </c>
      <c r="D94" s="74" t="str">
        <f t="shared" si="3"/>
        <v>9Supported Community ConnectionsNon-Denver</v>
      </c>
      <c r="E94" s="72" t="s">
        <v>35</v>
      </c>
      <c r="F94" s="72"/>
      <c r="G94" s="73">
        <v>9.07</v>
      </c>
      <c r="H94" s="108">
        <v>45839</v>
      </c>
    </row>
    <row r="95" spans="1:8">
      <c r="A95" t="s">
        <v>66</v>
      </c>
      <c r="B95" s="15" t="s">
        <v>151</v>
      </c>
      <c r="C95" s="72" t="s">
        <v>93</v>
      </c>
      <c r="D95" s="74" t="str">
        <f t="shared" si="3"/>
        <v>8Supported Employment- Benefits PlanningDenver</v>
      </c>
      <c r="E95" s="72" t="s">
        <v>35</v>
      </c>
      <c r="F95" s="72"/>
      <c r="G95" s="73">
        <v>26.9</v>
      </c>
      <c r="H95" s="108">
        <v>45839</v>
      </c>
    </row>
    <row r="96" spans="1:8">
      <c r="A96" t="s">
        <v>66</v>
      </c>
      <c r="C96" s="72" t="s">
        <v>93</v>
      </c>
      <c r="D96" s="74" t="str">
        <f t="shared" si="3"/>
        <v>8Supported Employment- Benefits Planning</v>
      </c>
      <c r="E96" s="72" t="s">
        <v>35</v>
      </c>
      <c r="F96" s="72"/>
      <c r="G96" s="73">
        <v>26.9</v>
      </c>
      <c r="H96" s="108">
        <v>45839</v>
      </c>
    </row>
    <row r="97" spans="1:8">
      <c r="A97" t="s">
        <v>66</v>
      </c>
      <c r="B97" s="15" t="s">
        <v>152</v>
      </c>
      <c r="C97" s="72" t="s">
        <v>93</v>
      </c>
      <c r="D97" s="74" t="str">
        <f t="shared" si="3"/>
        <v>8Supported Employment- Benefits PlanningNon-Denver</v>
      </c>
      <c r="E97" s="72" t="s">
        <v>35</v>
      </c>
      <c r="F97" s="72"/>
      <c r="G97" s="73">
        <v>26.9</v>
      </c>
      <c r="H97" s="108">
        <v>45839</v>
      </c>
    </row>
    <row r="98" spans="1:8">
      <c r="A98" t="s">
        <v>67</v>
      </c>
      <c r="B98" s="15" t="s">
        <v>151</v>
      </c>
      <c r="C98" s="72" t="s">
        <v>94</v>
      </c>
      <c r="D98" s="74" t="str">
        <f t="shared" si="3"/>
        <v>8Supported Employment- Workplace AssistanceDenver</v>
      </c>
      <c r="E98" s="72" t="s">
        <v>35</v>
      </c>
      <c r="F98" s="72"/>
      <c r="G98" s="73">
        <v>15.19</v>
      </c>
      <c r="H98" s="108">
        <v>45839</v>
      </c>
    </row>
    <row r="99" spans="1:8">
      <c r="A99" t="s">
        <v>67</v>
      </c>
      <c r="C99" s="72" t="s">
        <v>94</v>
      </c>
      <c r="D99" s="74" t="str">
        <f t="shared" si="3"/>
        <v>8Supported Employment- Workplace Assistance</v>
      </c>
      <c r="E99" s="72" t="s">
        <v>35</v>
      </c>
      <c r="F99" s="72"/>
      <c r="G99" s="73">
        <v>15.19</v>
      </c>
      <c r="H99" s="108">
        <v>45839</v>
      </c>
    </row>
    <row r="100" spans="1:8">
      <c r="A100" t="s">
        <v>67</v>
      </c>
      <c r="B100" s="15" t="s">
        <v>152</v>
      </c>
      <c r="C100" s="72" t="s">
        <v>94</v>
      </c>
      <c r="D100" s="74" t="str">
        <f t="shared" si="3"/>
        <v>8Supported Employment- Workplace AssistanceNon-Denver</v>
      </c>
      <c r="E100" s="72" t="s">
        <v>35</v>
      </c>
      <c r="F100" s="72"/>
      <c r="G100" s="73">
        <v>15.19</v>
      </c>
      <c r="H100" s="108">
        <v>45839</v>
      </c>
    </row>
    <row r="101" spans="1:8">
      <c r="A101" t="s">
        <v>65</v>
      </c>
      <c r="B101" s="15" t="s">
        <v>151</v>
      </c>
      <c r="C101" s="72" t="s">
        <v>95</v>
      </c>
      <c r="D101" s="74" t="str">
        <f t="shared" si="3"/>
        <v>8Transportation (Non-Medical)Denver</v>
      </c>
      <c r="E101" s="72" t="s">
        <v>70</v>
      </c>
      <c r="F101" s="72"/>
      <c r="G101" s="73">
        <v>26.34</v>
      </c>
      <c r="H101" s="108">
        <v>45839</v>
      </c>
    </row>
    <row r="102" spans="1:8">
      <c r="A102" t="s">
        <v>65</v>
      </c>
      <c r="C102" s="72" t="s">
        <v>95</v>
      </c>
      <c r="D102" s="74" t="str">
        <f t="shared" si="3"/>
        <v>8Transportation (Non-Medical)</v>
      </c>
      <c r="E102" s="72" t="s">
        <v>70</v>
      </c>
      <c r="F102" s="72"/>
      <c r="G102" s="73">
        <v>25.18</v>
      </c>
      <c r="H102" s="108">
        <v>45839</v>
      </c>
    </row>
    <row r="103" spans="1:8">
      <c r="A103" t="s">
        <v>65</v>
      </c>
      <c r="B103" s="15" t="s">
        <v>152</v>
      </c>
      <c r="C103" s="72" t="s">
        <v>95</v>
      </c>
      <c r="D103" s="74" t="str">
        <f t="shared" si="3"/>
        <v>8Transportation (Non-Medical)Non-Denver</v>
      </c>
      <c r="E103" s="72" t="s">
        <v>70</v>
      </c>
      <c r="F103" s="72"/>
      <c r="G103" s="73">
        <v>25.18</v>
      </c>
      <c r="H103" s="108">
        <v>45839</v>
      </c>
    </row>
    <row r="104" spans="1:8">
      <c r="A104" t="s">
        <v>65</v>
      </c>
      <c r="B104" s="72" t="s">
        <v>151</v>
      </c>
      <c r="C104" s="72" t="s">
        <v>162</v>
      </c>
      <c r="D104" s="74" t="str">
        <f t="shared" si="3"/>
        <v>9Transportation (Non-Medical)Denver</v>
      </c>
      <c r="E104" s="72" t="s">
        <v>70</v>
      </c>
      <c r="F104" s="73"/>
      <c r="G104" s="73">
        <v>26.34</v>
      </c>
    </row>
    <row r="105" spans="1:8">
      <c r="A105" t="s">
        <v>65</v>
      </c>
      <c r="B105" s="72"/>
      <c r="C105" s="72" t="s">
        <v>162</v>
      </c>
      <c r="D105" s="74" t="str">
        <f t="shared" ref="D105:D106" si="4">C105&amp;B105</f>
        <v>9Transportation (Non-Medical)</v>
      </c>
      <c r="E105" s="72" t="s">
        <v>70</v>
      </c>
      <c r="F105" s="73"/>
      <c r="G105" s="73">
        <v>25.18</v>
      </c>
    </row>
    <row r="106" spans="1:8">
      <c r="A106" t="s">
        <v>65</v>
      </c>
      <c r="B106" s="72" t="s">
        <v>152</v>
      </c>
      <c r="C106" s="72" t="s">
        <v>162</v>
      </c>
      <c r="D106" s="74" t="str">
        <f t="shared" si="4"/>
        <v>9Transportation (Non-Medical)Non-Denver</v>
      </c>
      <c r="E106" s="72" t="s">
        <v>70</v>
      </c>
      <c r="F106" s="73"/>
      <c r="G106" s="73">
        <v>25.18</v>
      </c>
    </row>
    <row r="107" spans="1:8">
      <c r="A107" s="72"/>
      <c r="B107" s="72"/>
      <c r="C107" s="72"/>
      <c r="D107" s="74"/>
      <c r="E107" s="72"/>
      <c r="F107" s="73"/>
    </row>
    <row r="108" spans="1:8">
      <c r="A108" s="72"/>
      <c r="B108" s="72"/>
      <c r="C108" s="72"/>
      <c r="D108" s="74"/>
      <c r="E108" s="72"/>
      <c r="F108" s="73"/>
    </row>
    <row r="109" spans="1:8">
      <c r="A109" s="72"/>
      <c r="B109" s="72"/>
      <c r="C109" s="72"/>
      <c r="D109" s="74"/>
      <c r="E109" s="72"/>
      <c r="F109" s="73"/>
    </row>
    <row r="110" spans="1:8">
      <c r="A110" s="72"/>
      <c r="B110" s="72"/>
      <c r="C110" s="72"/>
      <c r="D110" s="74"/>
      <c r="E110" s="72"/>
      <c r="F110" s="73"/>
    </row>
    <row r="111" spans="1:8">
      <c r="A111" s="72"/>
      <c r="B111" s="72"/>
      <c r="C111" s="72"/>
      <c r="D111" s="74"/>
      <c r="E111" s="72"/>
      <c r="F111" s="73"/>
    </row>
    <row r="112" spans="1:8">
      <c r="A112" s="72"/>
      <c r="B112" s="72"/>
      <c r="C112" s="72"/>
      <c r="D112" s="74"/>
      <c r="E112" s="72"/>
      <c r="F112" s="73"/>
    </row>
    <row r="113" spans="1:6">
      <c r="A113" s="72"/>
      <c r="B113" s="72"/>
      <c r="C113" s="72"/>
      <c r="D113" s="74"/>
      <c r="E113" s="72"/>
      <c r="F113" s="73"/>
    </row>
    <row r="114" spans="1:6">
      <c r="A114" s="72"/>
      <c r="B114" s="72"/>
      <c r="C114" s="72"/>
      <c r="D114" s="74"/>
      <c r="E114" s="72"/>
      <c r="F114" s="73"/>
    </row>
    <row r="115" spans="1:6">
      <c r="A115" s="15"/>
      <c r="B115" s="75"/>
      <c r="C115" s="15"/>
      <c r="D115" s="15"/>
      <c r="E115" s="72"/>
      <c r="F115" s="71"/>
    </row>
  </sheetData>
  <sheetProtection algorithmName="SHA-512" hashValue="L60haT5pV3dNt22ayjroj3z//Bv/fSvCVWlkCMM9oCs4/scTDNUgsPWz+qj8oZ4amnhgji/wwidz4wy+AfybeQ==" saltValue="GLQo/PUQMODeYaXGra2yig==" spinCount="100000" sheet="1" selectLockedCells="1" selectUnlockedCells="1"/>
  <autoFilter ref="A1:H115" xr:uid="{305E2E06-C38C-45FA-A009-A0D84A9AB8A9}"/>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G10" sqref="G10"/>
    </sheetView>
  </sheetViews>
  <sheetFormatPr defaultRowHeight="12.75"/>
  <cols>
    <col min="1" max="1" width="25" style="15" customWidth="1"/>
    <col min="2" max="2" width="12.85546875" style="15" customWidth="1"/>
    <col min="3" max="3" width="11.28515625" style="15" customWidth="1"/>
    <col min="4" max="4" width="23.85546875" style="15" customWidth="1"/>
    <col min="5" max="5" width="16.28515625" style="15" customWidth="1"/>
    <col min="6" max="6" width="19.85546875" style="15" customWidth="1"/>
    <col min="7" max="7" width="16.140625" style="15" customWidth="1"/>
    <col min="8" max="16384" width="9.140625" style="15"/>
  </cols>
  <sheetData>
    <row r="1" spans="1:7" s="3" customFormat="1">
      <c r="A1" s="182" t="s">
        <v>106</v>
      </c>
      <c r="B1" s="182"/>
      <c r="C1" s="182"/>
      <c r="D1" s="182"/>
      <c r="E1" s="182"/>
      <c r="F1" s="182"/>
      <c r="G1" s="182"/>
    </row>
    <row r="2" spans="1:7" s="3" customFormat="1">
      <c r="A2" s="182"/>
      <c r="B2" s="182"/>
      <c r="C2" s="182"/>
      <c r="D2" s="182"/>
      <c r="E2" s="182"/>
      <c r="F2" s="182"/>
      <c r="G2" s="182"/>
    </row>
    <row r="3" spans="1:7" s="3" customFormat="1">
      <c r="A3" s="182"/>
      <c r="B3" s="182"/>
      <c r="C3" s="182"/>
      <c r="D3" s="182"/>
      <c r="E3" s="182"/>
      <c r="F3" s="182"/>
      <c r="G3" s="182"/>
    </row>
    <row r="4" spans="1:7" s="5" customFormat="1" ht="12.75" customHeight="1">
      <c r="A4" s="182"/>
      <c r="B4" s="182"/>
      <c r="C4" s="182"/>
      <c r="D4" s="182"/>
      <c r="E4" s="182"/>
      <c r="F4" s="182"/>
      <c r="G4" s="182"/>
    </row>
    <row r="5" spans="1:7" s="5" customFormat="1" ht="13.5" thickBot="1">
      <c r="B5" s="7"/>
      <c r="C5" s="8"/>
      <c r="D5" s="8"/>
    </row>
    <row r="6" spans="1:7" s="29" customFormat="1" ht="13.5" thickBot="1">
      <c r="A6" s="136" t="s">
        <v>56</v>
      </c>
      <c r="B6" s="137" t="s">
        <v>57</v>
      </c>
      <c r="C6" s="137" t="s">
        <v>58</v>
      </c>
      <c r="D6" s="138" t="s">
        <v>59</v>
      </c>
      <c r="E6" s="139" t="s">
        <v>60</v>
      </c>
      <c r="F6" s="138" t="s">
        <v>61</v>
      </c>
      <c r="G6" s="140" t="s">
        <v>62</v>
      </c>
    </row>
    <row r="7" spans="1:7">
      <c r="A7" s="103"/>
      <c r="B7" s="104"/>
      <c r="C7" s="104"/>
      <c r="D7" s="105"/>
      <c r="E7" s="105"/>
      <c r="F7" s="106"/>
      <c r="G7" s="107">
        <f>E7-F7</f>
        <v>0</v>
      </c>
    </row>
    <row r="8" spans="1:7">
      <c r="A8" s="23"/>
      <c r="B8" s="21"/>
      <c r="C8" s="21"/>
      <c r="D8" s="22"/>
      <c r="E8" s="22"/>
      <c r="F8" s="20"/>
      <c r="G8" s="24">
        <f t="shared" ref="G8:G16" si="0">E8-F8</f>
        <v>0</v>
      </c>
    </row>
    <row r="9" spans="1:7">
      <c r="A9" s="23"/>
      <c r="B9" s="21"/>
      <c r="C9" s="21"/>
      <c r="D9" s="22"/>
      <c r="E9" s="22"/>
      <c r="F9" s="20"/>
      <c r="G9" s="24">
        <f t="shared" si="0"/>
        <v>0</v>
      </c>
    </row>
    <row r="10" spans="1:7">
      <c r="A10" s="23"/>
      <c r="B10" s="21"/>
      <c r="C10" s="21"/>
      <c r="D10" s="22"/>
      <c r="E10" s="22"/>
      <c r="F10" s="20"/>
      <c r="G10" s="24">
        <f t="shared" si="0"/>
        <v>0</v>
      </c>
    </row>
    <row r="11" spans="1:7">
      <c r="A11" s="23"/>
      <c r="B11" s="21"/>
      <c r="C11" s="21"/>
      <c r="D11" s="22"/>
      <c r="E11" s="22"/>
      <c r="F11" s="20"/>
      <c r="G11" s="24">
        <f t="shared" si="0"/>
        <v>0</v>
      </c>
    </row>
    <row r="12" spans="1:7">
      <c r="A12" s="23"/>
      <c r="B12" s="21"/>
      <c r="C12" s="21"/>
      <c r="D12" s="22"/>
      <c r="E12" s="22"/>
      <c r="F12" s="20"/>
      <c r="G12" s="24">
        <f t="shared" si="0"/>
        <v>0</v>
      </c>
    </row>
    <row r="13" spans="1:7">
      <c r="A13" s="23"/>
      <c r="B13" s="21"/>
      <c r="C13" s="21"/>
      <c r="D13" s="22"/>
      <c r="E13" s="22"/>
      <c r="F13" s="20"/>
      <c r="G13" s="24">
        <f t="shared" si="0"/>
        <v>0</v>
      </c>
    </row>
    <row r="14" spans="1:7">
      <c r="A14" s="23"/>
      <c r="B14" s="21"/>
      <c r="C14" s="21"/>
      <c r="D14" s="22"/>
      <c r="E14" s="22"/>
      <c r="F14" s="20"/>
      <c r="G14" s="24">
        <f t="shared" si="0"/>
        <v>0</v>
      </c>
    </row>
    <row r="15" spans="1:7">
      <c r="A15" s="23"/>
      <c r="B15" s="21"/>
      <c r="C15" s="21"/>
      <c r="D15" s="22"/>
      <c r="E15" s="22"/>
      <c r="F15" s="20"/>
      <c r="G15" s="24">
        <f t="shared" si="0"/>
        <v>0</v>
      </c>
    </row>
    <row r="16" spans="1:7" ht="13.5" thickBot="1">
      <c r="A16" s="25"/>
      <c r="B16" s="26"/>
      <c r="C16" s="26"/>
      <c r="D16" s="27"/>
      <c r="E16" s="27"/>
      <c r="F16" s="28"/>
      <c r="G16" s="102">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1:C25"/>
  <sheetViews>
    <sheetView workbookViewId="0">
      <selection activeCell="A2" sqref="A2:A25"/>
    </sheetView>
  </sheetViews>
  <sheetFormatPr defaultRowHeight="12.75"/>
  <cols>
    <col min="1" max="1" width="45.140625" customWidth="1"/>
    <col min="2" max="2" width="37.5703125" customWidth="1"/>
    <col min="3" max="3" width="40.28515625" customWidth="1"/>
  </cols>
  <sheetData>
    <row r="1" spans="1:3">
      <c r="B1" s="15" t="s">
        <v>63</v>
      </c>
    </row>
    <row r="2" spans="1:3">
      <c r="A2" t="s">
        <v>34</v>
      </c>
      <c r="B2" s="15" t="s">
        <v>64</v>
      </c>
      <c r="C2" t="s">
        <v>151</v>
      </c>
    </row>
    <row r="3" spans="1:3">
      <c r="A3" t="s">
        <v>36</v>
      </c>
      <c r="C3" t="s">
        <v>152</v>
      </c>
    </row>
    <row r="4" spans="1:3">
      <c r="A4" t="s">
        <v>37</v>
      </c>
      <c r="B4" s="15"/>
    </row>
    <row r="5" spans="1:3">
      <c r="A5" t="s">
        <v>38</v>
      </c>
      <c r="B5" s="15"/>
    </row>
    <row r="6" spans="1:3">
      <c r="A6" t="s">
        <v>39</v>
      </c>
    </row>
    <row r="7" spans="1:3">
      <c r="A7" t="s">
        <v>40</v>
      </c>
    </row>
    <row r="8" spans="1:3">
      <c r="A8" t="s">
        <v>41</v>
      </c>
    </row>
    <row r="9" spans="1:3">
      <c r="A9" t="s">
        <v>42</v>
      </c>
    </row>
    <row r="10" spans="1:3">
      <c r="A10" t="s">
        <v>43</v>
      </c>
    </row>
    <row r="11" spans="1:3">
      <c r="A11" t="s">
        <v>44</v>
      </c>
    </row>
    <row r="12" spans="1:3">
      <c r="A12" t="s">
        <v>45</v>
      </c>
    </row>
    <row r="13" spans="1:3">
      <c r="A13" t="s">
        <v>46</v>
      </c>
    </row>
    <row r="14" spans="1:3">
      <c r="A14" t="s">
        <v>47</v>
      </c>
    </row>
    <row r="15" spans="1:3">
      <c r="A15" t="s">
        <v>48</v>
      </c>
    </row>
    <row r="16" spans="1:3">
      <c r="A16" t="s">
        <v>49</v>
      </c>
    </row>
    <row r="17" spans="1:1">
      <c r="A17" t="s">
        <v>50</v>
      </c>
    </row>
    <row r="18" spans="1:1">
      <c r="A18" t="s">
        <v>51</v>
      </c>
    </row>
    <row r="19" spans="1:1">
      <c r="A19" t="s">
        <v>52</v>
      </c>
    </row>
    <row r="20" spans="1:1">
      <c r="A20" s="15" t="s">
        <v>53</v>
      </c>
    </row>
    <row r="21" spans="1:1">
      <c r="A21" t="s">
        <v>54</v>
      </c>
    </row>
    <row r="22" spans="1:1">
      <c r="A22" t="s">
        <v>55</v>
      </c>
    </row>
    <row r="23" spans="1:1">
      <c r="A23" t="s">
        <v>66</v>
      </c>
    </row>
    <row r="24" spans="1:1">
      <c r="A24" t="s">
        <v>67</v>
      </c>
    </row>
    <row r="25" spans="1:1">
      <c r="A25" t="s">
        <v>65</v>
      </c>
    </row>
  </sheetData>
  <sheetProtection sheet="1" selectLockedCells="1" selectUnlockedCells="1"/>
  <sortState xmlns:xlrd2="http://schemas.microsoft.com/office/spreadsheetml/2017/richdata2" ref="A2:A22">
    <sortCondition ref="A2:A2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topLeftCell="A3" workbookViewId="0">
      <selection activeCell="C7" sqref="C7"/>
    </sheetView>
  </sheetViews>
  <sheetFormatPr defaultRowHeight="12.75"/>
  <cols>
    <col min="1" max="1" width="30.140625" style="112" customWidth="1"/>
    <col min="2" max="2" width="115.7109375" style="116" customWidth="1"/>
    <col min="3" max="3" width="57.42578125" style="114" customWidth="1"/>
    <col min="4" max="4" width="33" customWidth="1"/>
  </cols>
  <sheetData>
    <row r="1" spans="1:3" s="111" customFormat="1">
      <c r="A1" s="109" t="s">
        <v>28</v>
      </c>
      <c r="B1" s="110" t="s">
        <v>109</v>
      </c>
      <c r="C1" s="110" t="s">
        <v>110</v>
      </c>
    </row>
    <row r="2" spans="1:3" ht="63.75">
      <c r="A2" s="112" t="s">
        <v>34</v>
      </c>
      <c r="B2" s="113" t="s">
        <v>111</v>
      </c>
    </row>
    <row r="3" spans="1:3" ht="102">
      <c r="A3" s="115" t="s">
        <v>112</v>
      </c>
      <c r="B3" s="116" t="s">
        <v>113</v>
      </c>
    </row>
    <row r="4" spans="1:3" ht="63.75">
      <c r="A4" s="112" t="s">
        <v>38</v>
      </c>
      <c r="B4" s="116" t="s">
        <v>114</v>
      </c>
    </row>
    <row r="5" spans="1:3" ht="25.5">
      <c r="A5" s="112" t="s">
        <v>39</v>
      </c>
      <c r="B5" s="116" t="s">
        <v>115</v>
      </c>
    </row>
    <row r="6" spans="1:3" ht="76.5">
      <c r="A6" s="112" t="s">
        <v>40</v>
      </c>
      <c r="B6" s="116" t="s">
        <v>116</v>
      </c>
      <c r="C6" s="117" t="s">
        <v>148</v>
      </c>
    </row>
    <row r="7" spans="1:3" ht="140.25">
      <c r="A7" s="112" t="s">
        <v>41</v>
      </c>
      <c r="B7" s="116" t="s">
        <v>117</v>
      </c>
      <c r="C7" s="117" t="s">
        <v>149</v>
      </c>
    </row>
    <row r="8" spans="1:3" ht="38.25">
      <c r="A8" s="112" t="s">
        <v>118</v>
      </c>
      <c r="B8" s="118" t="s">
        <v>119</v>
      </c>
    </row>
    <row r="9" spans="1:3" ht="51">
      <c r="A9" s="112" t="s">
        <v>120</v>
      </c>
      <c r="B9" s="119" t="s">
        <v>121</v>
      </c>
    </row>
    <row r="10" spans="1:3" ht="25.5">
      <c r="A10" s="112" t="s">
        <v>46</v>
      </c>
      <c r="B10" s="116" t="s">
        <v>122</v>
      </c>
    </row>
    <row r="11" spans="1:3" ht="127.5">
      <c r="A11" s="112" t="s">
        <v>47</v>
      </c>
      <c r="B11" s="116" t="s">
        <v>123</v>
      </c>
      <c r="C11" s="117" t="s">
        <v>134</v>
      </c>
    </row>
    <row r="12" spans="1:3" ht="25.5">
      <c r="A12" s="112" t="s">
        <v>124</v>
      </c>
      <c r="B12" s="116" t="s">
        <v>125</v>
      </c>
      <c r="C12" s="120"/>
    </row>
    <row r="13" spans="1:3" ht="114.75">
      <c r="A13" s="112" t="s">
        <v>50</v>
      </c>
      <c r="B13" s="116" t="s">
        <v>126</v>
      </c>
    </row>
    <row r="14" spans="1:3" ht="76.5">
      <c r="A14" s="115" t="s">
        <v>51</v>
      </c>
      <c r="B14" s="119" t="s">
        <v>127</v>
      </c>
    </row>
    <row r="15" spans="1:3" ht="114.75">
      <c r="A15" s="112" t="s">
        <v>52</v>
      </c>
      <c r="B15" s="116" t="s">
        <v>128</v>
      </c>
    </row>
    <row r="16" spans="1:3" ht="127.5">
      <c r="A16" s="115" t="s">
        <v>53</v>
      </c>
      <c r="B16" s="116" t="s">
        <v>129</v>
      </c>
    </row>
    <row r="17" spans="1:3" ht="102">
      <c r="A17" s="115" t="s">
        <v>54</v>
      </c>
      <c r="B17" s="118" t="s">
        <v>130</v>
      </c>
    </row>
    <row r="18" spans="1:3" ht="178.5">
      <c r="A18" s="112" t="s">
        <v>55</v>
      </c>
      <c r="B18" s="119" t="s">
        <v>131</v>
      </c>
      <c r="C18" s="120" t="s">
        <v>135</v>
      </c>
    </row>
    <row r="19" spans="1:3" ht="114.75">
      <c r="A19" s="115" t="s">
        <v>132</v>
      </c>
      <c r="B19" s="119" t="s">
        <v>133</v>
      </c>
      <c r="C19" s="11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2"/>
  <sheetViews>
    <sheetView showGridLines="0" workbookViewId="0">
      <selection activeCell="A36" sqref="A36"/>
    </sheetView>
  </sheetViews>
  <sheetFormatPr defaultRowHeight="12.75"/>
  <cols>
    <col min="1" max="1" width="112.85546875" customWidth="1"/>
    <col min="2" max="2" width="13" customWidth="1"/>
    <col min="10" max="10" width="14.42578125" customWidth="1"/>
  </cols>
  <sheetData>
    <row r="1" spans="1:8" s="122" customFormat="1" ht="15">
      <c r="A1" s="121" t="s">
        <v>136</v>
      </c>
    </row>
    <row r="2" spans="1:8" ht="14.25">
      <c r="A2" s="123" t="s">
        <v>137</v>
      </c>
    </row>
    <row r="3" spans="1:8" ht="14.25">
      <c r="A3" s="124"/>
    </row>
    <row r="4" spans="1:8" ht="14.25">
      <c r="A4" s="124"/>
    </row>
    <row r="5" spans="1:8" s="122" customFormat="1" ht="15.75">
      <c r="A5" s="125" t="s">
        <v>138</v>
      </c>
    </row>
    <row r="6" spans="1:8" ht="14.25">
      <c r="A6" s="126" t="s">
        <v>139</v>
      </c>
    </row>
    <row r="7" spans="1:8" ht="14.25">
      <c r="A7" s="127" t="s">
        <v>140</v>
      </c>
    </row>
    <row r="8" spans="1:8" ht="14.25">
      <c r="A8" s="128"/>
    </row>
    <row r="10" spans="1:8" s="122" customFormat="1" ht="15.75">
      <c r="A10" s="125" t="s">
        <v>141</v>
      </c>
    </row>
    <row r="11" spans="1:8" ht="14.25">
      <c r="A11" s="129" t="s">
        <v>142</v>
      </c>
    </row>
    <row r="12" spans="1:8" ht="14.25">
      <c r="A12" s="130" t="s">
        <v>143</v>
      </c>
    </row>
    <row r="13" spans="1:8" ht="14.25">
      <c r="A13" s="131" t="s">
        <v>144</v>
      </c>
    </row>
    <row r="16" spans="1:8" s="122" customFormat="1" ht="15.75">
      <c r="A16" s="125" t="s">
        <v>145</v>
      </c>
      <c r="B16" s="132"/>
      <c r="C16" s="132"/>
      <c r="D16" s="132"/>
      <c r="E16" s="132"/>
      <c r="F16" s="132"/>
      <c r="G16" s="132"/>
      <c r="H16" s="132"/>
    </row>
    <row r="17" spans="1:1" ht="14.25">
      <c r="A17" s="130" t="s">
        <v>146</v>
      </c>
    </row>
    <row r="18" spans="1:1">
      <c r="A18" s="133" t="s">
        <v>147</v>
      </c>
    </row>
    <row r="19" spans="1:1">
      <c r="A19" s="134" t="s">
        <v>155</v>
      </c>
    </row>
    <row r="20" spans="1:1">
      <c r="A20" s="134" t="s">
        <v>156</v>
      </c>
    </row>
    <row r="21" spans="1:1">
      <c r="A21" s="134"/>
    </row>
    <row r="22" spans="1:1">
      <c r="A22" s="134"/>
    </row>
    <row r="23" spans="1:1">
      <c r="A23" s="134"/>
    </row>
    <row r="24" spans="1:1">
      <c r="A24" s="134"/>
    </row>
    <row r="25" spans="1:1">
      <c r="A25" s="134"/>
    </row>
    <row r="26" spans="1:1">
      <c r="A26" s="134"/>
    </row>
    <row r="27" spans="1:1">
      <c r="A27" s="134"/>
    </row>
    <row r="28" spans="1:1">
      <c r="A28" s="134"/>
    </row>
    <row r="29" spans="1:1">
      <c r="A29" s="134"/>
    </row>
    <row r="30" spans="1:1">
      <c r="A30" s="134"/>
    </row>
    <row r="31" spans="1:1">
      <c r="A31" s="134"/>
    </row>
    <row r="32" spans="1:1">
      <c r="A32" s="135"/>
    </row>
    <row r="42" ht="4.5" customHeight="1"/>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A349D-D96C-4087-B513-6BFB42DBC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Invoice</vt:lpstr>
      <vt:lpstr>Optimax Rates</vt:lpstr>
      <vt:lpstr>For Provider Use Only</vt:lpstr>
      <vt:lpstr>Drop Downs</vt:lpstr>
      <vt:lpstr>Service Definitions</vt:lpstr>
      <vt:lpstr>Additional Resources</vt:lpstr>
      <vt:lpstr>Invoice!Print_Area</vt:lpstr>
      <vt:lpstr>Invoice!Print_Titles</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cp:lastPrinted>2025-07-01T16:43:56Z</cp:lastPrinted>
  <dcterms:created xsi:type="dcterms:W3CDTF">2004-08-09T15:26:42Z</dcterms:created>
  <dcterms:modified xsi:type="dcterms:W3CDTF">2025-07-01T19:35:57Z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