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kleaf\OneDrive\Documents\"/>
    </mc:Choice>
  </mc:AlternateContent>
  <xr:revisionPtr revIDLastSave="0" documentId="13_ncr:1_{75438712-B685-4AE4-BFBA-8E85277CA37B}" xr6:coauthVersionLast="47" xr6:coauthVersionMax="47" xr10:uidLastSave="{00000000-0000-0000-0000-000000000000}"/>
  <workbookProtection workbookAlgorithmName="SHA-512" workbookHashValue="4AwSgzKi2JfGlBuSphmJaq4DzVw2w89WI0SAa1s9ZVbd7A9IyqagXcxkZ6vHOOsb1dHn/POSy3lMMLlSUOzv0A==" workbookSaltValue="5H4CtMQx53ymnhlTjnq4Eg==" workbookSpinCount="100000" lockStructure="1"/>
  <bookViews>
    <workbookView xWindow="-110" yWindow="-110" windowWidth="22780" windowHeight="14660"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Rates'!$A$1:$H$124</definedName>
    <definedName name="_xlnm.Print_Area" localSheetId="0">Invoice!$A$1:$U$77</definedName>
    <definedName name="_xlnm.Print_Titles" localSheetId="0">Invoice!$2:$6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8" l="1"/>
  <c r="C121" i="8"/>
  <c r="C120" i="8"/>
  <c r="D120" i="8" s="1"/>
  <c r="C117" i="8"/>
  <c r="D117" i="8" s="1"/>
  <c r="C116" i="8"/>
  <c r="C114" i="8"/>
  <c r="D114" i="8" s="1"/>
  <c r="D121" i="8"/>
  <c r="C112" i="8"/>
  <c r="D112" i="8" s="1"/>
  <c r="C118" i="8"/>
  <c r="D118" i="8" s="1"/>
  <c r="C122" i="8"/>
  <c r="D122" i="8" s="1"/>
  <c r="C108" i="8"/>
  <c r="D108" i="8" s="1"/>
  <c r="D123" i="8"/>
  <c r="C124" i="8"/>
  <c r="D124" i="8" s="1"/>
  <c r="C110" i="8"/>
  <c r="D110" i="8" s="1"/>
  <c r="C113" i="8"/>
  <c r="D113" i="8" s="1"/>
  <c r="C111" i="8"/>
  <c r="D111" i="8" s="1"/>
  <c r="C107" i="8"/>
  <c r="D107" i="8" s="1"/>
  <c r="C115" i="8"/>
  <c r="D115" i="8" s="1"/>
  <c r="C119" i="8"/>
  <c r="D119" i="8" s="1"/>
  <c r="D116" i="8"/>
  <c r="C109" i="8"/>
  <c r="D109" i="8" s="1"/>
  <c r="D106" i="8"/>
  <c r="D105" i="8"/>
  <c r="D104" i="8"/>
  <c r="G7" i="2"/>
  <c r="I7" i="2"/>
  <c r="G8" i="2"/>
  <c r="I8" i="2" s="1"/>
  <c r="H8" i="2" s="1"/>
  <c r="G9" i="2"/>
  <c r="I9" i="2" s="1"/>
  <c r="H9" i="2" s="1"/>
  <c r="G10" i="2"/>
  <c r="I10" i="2" s="1"/>
  <c r="H10" i="2" s="1"/>
  <c r="G11" i="2"/>
  <c r="I11" i="2" s="1"/>
  <c r="H11" i="2" s="1"/>
  <c r="G12" i="2"/>
  <c r="I12" i="2" s="1"/>
  <c r="H12" i="2" s="1"/>
  <c r="G13" i="2"/>
  <c r="I13" i="2" s="1"/>
  <c r="H13" i="2" s="1"/>
  <c r="G14" i="2"/>
  <c r="I14" i="2" s="1"/>
  <c r="H14" i="2" s="1"/>
  <c r="G15" i="2"/>
  <c r="I15" i="2" s="1"/>
  <c r="H15" i="2" s="1"/>
  <c r="G16" i="2"/>
  <c r="I16" i="2" s="1"/>
  <c r="H16" i="2" s="1"/>
  <c r="G17" i="2"/>
  <c r="I17" i="2" s="1"/>
  <c r="H17" i="2" s="1"/>
  <c r="G18" i="2"/>
  <c r="I18" i="2" s="1"/>
  <c r="H18" i="2" s="1"/>
  <c r="G19" i="2"/>
  <c r="I19" i="2" s="1"/>
  <c r="H19" i="2" s="1"/>
  <c r="G20" i="2"/>
  <c r="I20" i="2" s="1"/>
  <c r="H20" i="2" s="1"/>
  <c r="G21" i="2"/>
  <c r="I21" i="2" s="1"/>
  <c r="H21" i="2" s="1"/>
  <c r="G22" i="2"/>
  <c r="I22" i="2" s="1"/>
  <c r="H22" i="2" s="1"/>
  <c r="G23" i="2"/>
  <c r="I23" i="2" s="1"/>
  <c r="H23" i="2" s="1"/>
  <c r="G24" i="2"/>
  <c r="I24" i="2" s="1"/>
  <c r="H24" i="2" s="1"/>
  <c r="G25" i="2"/>
  <c r="I25" i="2" s="1"/>
  <c r="H25" i="2" s="1"/>
  <c r="G26" i="2"/>
  <c r="I26" i="2" s="1"/>
  <c r="H26" i="2" s="1"/>
  <c r="G27" i="2"/>
  <c r="I27" i="2" s="1"/>
  <c r="H27" i="2" s="1"/>
  <c r="G28" i="2"/>
  <c r="I28" i="2" s="1"/>
  <c r="H28" i="2" s="1"/>
  <c r="G29" i="2"/>
  <c r="I29" i="2" s="1"/>
  <c r="H29" i="2" s="1"/>
  <c r="G30" i="2"/>
  <c r="I30" i="2" s="1"/>
  <c r="H30" i="2" s="1"/>
  <c r="G31" i="2"/>
  <c r="I31" i="2" s="1"/>
  <c r="H31" i="2" s="1"/>
  <c r="G32" i="2"/>
  <c r="I32" i="2" s="1"/>
  <c r="H32" i="2" s="1"/>
  <c r="G33" i="2"/>
  <c r="I33" i="2" s="1"/>
  <c r="H33" i="2" s="1"/>
  <c r="G34" i="2"/>
  <c r="I34" i="2" s="1"/>
  <c r="H34" i="2" s="1"/>
  <c r="G35" i="2"/>
  <c r="I35" i="2" s="1"/>
  <c r="H35" i="2" s="1"/>
  <c r="G36" i="2"/>
  <c r="I36" i="2" s="1"/>
  <c r="H36" i="2" s="1"/>
  <c r="G37" i="2"/>
  <c r="I37" i="2" s="1"/>
  <c r="H37" i="2" s="1"/>
  <c r="G38" i="2"/>
  <c r="I38" i="2" s="1"/>
  <c r="H38" i="2" s="1"/>
  <c r="G39" i="2"/>
  <c r="I39" i="2" s="1"/>
  <c r="H39" i="2" s="1"/>
  <c r="G40" i="2"/>
  <c r="I40" i="2" s="1"/>
  <c r="H40" i="2" s="1"/>
  <c r="G41" i="2"/>
  <c r="I41" i="2" s="1"/>
  <c r="H41" i="2" s="1"/>
  <c r="G42" i="2"/>
  <c r="I42" i="2" s="1"/>
  <c r="H42" i="2" s="1"/>
  <c r="G43" i="2"/>
  <c r="I43" i="2" s="1"/>
  <c r="H43" i="2" s="1"/>
  <c r="G44" i="2"/>
  <c r="I44" i="2" s="1"/>
  <c r="H44" i="2" s="1"/>
  <c r="G45" i="2"/>
  <c r="I45" i="2" s="1"/>
  <c r="H45" i="2" s="1"/>
  <c r="G46" i="2"/>
  <c r="I46" i="2" s="1"/>
  <c r="H46" i="2" s="1"/>
  <c r="G47" i="2"/>
  <c r="I47" i="2" s="1"/>
  <c r="H47" i="2" s="1"/>
  <c r="G48" i="2"/>
  <c r="I48" i="2" s="1"/>
  <c r="H48" i="2" s="1"/>
  <c r="G49" i="2"/>
  <c r="I49" i="2" s="1"/>
  <c r="H49" i="2" s="1"/>
  <c r="G50" i="2"/>
  <c r="I50" i="2" s="1"/>
  <c r="H50" i="2" s="1"/>
  <c r="G51" i="2"/>
  <c r="I51" i="2" s="1"/>
  <c r="H51" i="2" s="1"/>
  <c r="G52" i="2"/>
  <c r="I52" i="2" s="1"/>
  <c r="H52" i="2" s="1"/>
  <c r="G53" i="2"/>
  <c r="I53" i="2" s="1"/>
  <c r="H53" i="2" s="1"/>
  <c r="G54" i="2"/>
  <c r="I54" i="2" s="1"/>
  <c r="H54" i="2" s="1"/>
  <c r="G55" i="2"/>
  <c r="I55" i="2" s="1"/>
  <c r="H55" i="2" s="1"/>
  <c r="G56" i="2"/>
  <c r="I56" i="2" s="1"/>
  <c r="H56" i="2" s="1"/>
  <c r="G57" i="2"/>
  <c r="I57" i="2" s="1"/>
  <c r="H57" i="2" s="1"/>
  <c r="G58" i="2"/>
  <c r="I58" i="2" s="1"/>
  <c r="H58" i="2" s="1"/>
  <c r="G59" i="2"/>
  <c r="I59" i="2" s="1"/>
  <c r="H59" i="2" s="1"/>
  <c r="G60" i="2"/>
  <c r="I60" i="2" s="1"/>
  <c r="H60" i="2" s="1"/>
  <c r="G61" i="2"/>
  <c r="I61" i="2" s="1"/>
  <c r="H61" i="2" s="1"/>
  <c r="G62" i="2"/>
  <c r="I62" i="2" s="1"/>
  <c r="H62" i="2" s="1"/>
  <c r="G63" i="2"/>
  <c r="I63" i="2" s="1"/>
  <c r="H63" i="2" s="1"/>
  <c r="G64" i="2"/>
  <c r="I64" i="2" s="1"/>
  <c r="H64" i="2" s="1"/>
  <c r="G65" i="2"/>
  <c r="I65" i="2" s="1"/>
  <c r="H65" i="2" s="1"/>
  <c r="G66" i="2"/>
  <c r="I66" i="2" s="1"/>
  <c r="H66" i="2" s="1"/>
  <c r="G67" i="2"/>
  <c r="I67" i="2" s="1"/>
  <c r="H67" i="2" s="1"/>
  <c r="G68" i="2"/>
  <c r="I68" i="2" s="1"/>
  <c r="H68" i="2" s="1"/>
  <c r="G69" i="2"/>
  <c r="I69" i="2" s="1"/>
  <c r="H69" i="2" s="1"/>
  <c r="G70" i="2"/>
  <c r="I70" i="2" s="1"/>
  <c r="H70" i="2" s="1"/>
  <c r="N22" i="2"/>
  <c r="O22" i="2" s="1"/>
  <c r="K22" i="2"/>
  <c r="L22" i="2"/>
  <c r="S22" i="2"/>
  <c r="P22" i="2" l="1"/>
  <c r="Q22" i="2"/>
  <c r="D103" i="8"/>
  <c r="D102" i="8"/>
  <c r="D100" i="8"/>
  <c r="D94" i="8"/>
  <c r="D99" i="8"/>
  <c r="D93" i="8"/>
  <c r="D97" i="8"/>
  <c r="D96" i="8"/>
  <c r="D92" i="8"/>
  <c r="D91" i="8"/>
  <c r="D87" i="8"/>
  <c r="D86" i="8"/>
  <c r="D82" i="8"/>
  <c r="D88" i="8"/>
  <c r="D81" i="8"/>
  <c r="D79" i="8"/>
  <c r="D78" i="8"/>
  <c r="D85" i="8"/>
  <c r="D76" i="8"/>
  <c r="D75" i="8"/>
  <c r="D73" i="8"/>
  <c r="D58" i="8"/>
  <c r="D72" i="8"/>
  <c r="D70" i="8"/>
  <c r="D69" i="8"/>
  <c r="D57" i="8"/>
  <c r="D67" i="8"/>
  <c r="D66" i="8"/>
  <c r="D52" i="8"/>
  <c r="D51" i="8"/>
  <c r="D46" i="8"/>
  <c r="D64" i="8"/>
  <c r="D101" i="8"/>
  <c r="D98" i="8"/>
  <c r="D95" i="8"/>
  <c r="D89" i="8"/>
  <c r="D90" i="8"/>
  <c r="D83" i="8"/>
  <c r="D84" i="8"/>
  <c r="D80" i="8"/>
  <c r="D77" i="8"/>
  <c r="D74" i="8"/>
  <c r="D71" i="8"/>
  <c r="D68" i="8"/>
  <c r="D65" i="8"/>
  <c r="D63" i="8"/>
  <c r="D61" i="8"/>
  <c r="D56" i="8"/>
  <c r="D55" i="8"/>
  <c r="D50" i="8"/>
  <c r="D49" i="8"/>
  <c r="D45" i="8"/>
  <c r="D44" i="8"/>
  <c r="D40" i="8"/>
  <c r="D39" i="8"/>
  <c r="D34" i="8"/>
  <c r="D31" i="8"/>
  <c r="D28" i="8"/>
  <c r="D27" i="8"/>
  <c r="D22" i="8"/>
  <c r="D19" i="8"/>
  <c r="D17" i="8"/>
  <c r="D13" i="8"/>
  <c r="D12" i="8"/>
  <c r="D7" i="8"/>
  <c r="D6" i="8"/>
  <c r="D62" i="8"/>
  <c r="D60" i="8"/>
  <c r="D59" i="8"/>
  <c r="D41" i="8"/>
  <c r="D54" i="8"/>
  <c r="D36" i="8"/>
  <c r="D53" i="8"/>
  <c r="D48" i="8"/>
  <c r="D47" i="8"/>
  <c r="D43" i="8"/>
  <c r="D42" i="8"/>
  <c r="D38" i="8"/>
  <c r="D37" i="8"/>
  <c r="D35" i="8"/>
  <c r="D33" i="8"/>
  <c r="D32" i="8"/>
  <c r="D30" i="8"/>
  <c r="D24" i="8"/>
  <c r="D29" i="8"/>
  <c r="D23" i="8"/>
  <c r="D26" i="8"/>
  <c r="D18" i="8"/>
  <c r="D25" i="8"/>
  <c r="D16" i="8"/>
  <c r="D21" i="8"/>
  <c r="D20" i="8"/>
  <c r="D15" i="8"/>
  <c r="D11" i="8"/>
  <c r="D14" i="8"/>
  <c r="D10" i="8"/>
  <c r="D8" i="8"/>
  <c r="D9" i="8"/>
  <c r="D5" i="8"/>
  <c r="D4" i="8"/>
  <c r="D3" i="8"/>
  <c r="D2" i="8"/>
  <c r="R22" i="2" l="1"/>
  <c r="J8" i="2"/>
  <c r="T8" i="2"/>
  <c r="T9" i="2"/>
  <c r="J9" i="2"/>
  <c r="T10" i="2"/>
  <c r="T11" i="2"/>
  <c r="T12" i="2"/>
  <c r="T13" i="2"/>
  <c r="T14" i="2"/>
  <c r="T15" i="2"/>
  <c r="T16" i="2"/>
  <c r="T17" i="2"/>
  <c r="T18" i="2"/>
  <c r="T19" i="2"/>
  <c r="T20" i="2"/>
  <c r="T21" i="2"/>
  <c r="T22" i="2"/>
  <c r="U22" i="2" s="1"/>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4" i="2"/>
  <c r="T65" i="2"/>
  <c r="T66" i="2"/>
  <c r="T67" i="2"/>
  <c r="T69" i="2"/>
  <c r="T70" i="2"/>
  <c r="J10" i="2"/>
  <c r="J11" i="2"/>
  <c r="J12" i="2"/>
  <c r="J14" i="2"/>
  <c r="S14" i="2" s="1"/>
  <c r="J15" i="2"/>
  <c r="S15" i="2" s="1"/>
  <c r="J16" i="2"/>
  <c r="J18" i="2"/>
  <c r="J19" i="2"/>
  <c r="J20" i="2"/>
  <c r="J22" i="2"/>
  <c r="J23" i="2"/>
  <c r="J25" i="2"/>
  <c r="J26" i="2"/>
  <c r="J27" i="2"/>
  <c r="J29" i="2"/>
  <c r="J30" i="2"/>
  <c r="J31" i="2"/>
  <c r="J33" i="2"/>
  <c r="J34" i="2"/>
  <c r="J36" i="2"/>
  <c r="J37" i="2"/>
  <c r="J38" i="2"/>
  <c r="J40" i="2"/>
  <c r="J41" i="2"/>
  <c r="J43" i="2"/>
  <c r="J44" i="2"/>
  <c r="J45" i="2"/>
  <c r="J50" i="2"/>
  <c r="J51" i="2"/>
  <c r="J53" i="2"/>
  <c r="J54" i="2"/>
  <c r="J55" i="2"/>
  <c r="J57" i="2"/>
  <c r="J58" i="2"/>
  <c r="J60" i="2"/>
  <c r="J61" i="2"/>
  <c r="J63" i="2"/>
  <c r="J64" i="2"/>
  <c r="J66" i="2"/>
  <c r="J67" i="2"/>
  <c r="J68" i="2"/>
  <c r="J70" i="2"/>
  <c r="T63" i="2"/>
  <c r="T68" i="2"/>
  <c r="J13" i="2"/>
  <c r="S13" i="2" s="1"/>
  <c r="J17" i="2"/>
  <c r="J21" i="2"/>
  <c r="J24" i="2"/>
  <c r="J28" i="2"/>
  <c r="J32" i="2"/>
  <c r="J35" i="2"/>
  <c r="J39" i="2"/>
  <c r="J42" i="2"/>
  <c r="J46" i="2"/>
  <c r="J47" i="2"/>
  <c r="J48" i="2"/>
  <c r="J49" i="2"/>
  <c r="J52" i="2"/>
  <c r="J56" i="2"/>
  <c r="J59" i="2"/>
  <c r="J62" i="2"/>
  <c r="J65" i="2"/>
  <c r="J69" i="2"/>
  <c r="S16" i="2"/>
  <c r="S17" i="2"/>
  <c r="S18" i="2"/>
  <c r="S19" i="2"/>
  <c r="S20" i="2"/>
  <c r="S21" i="2"/>
  <c r="S23" i="2"/>
  <c r="S24" i="2"/>
  <c r="S25" i="2"/>
  <c r="N19" i="2"/>
  <c r="O19" i="2" s="1"/>
  <c r="N20" i="2"/>
  <c r="O20" i="2" s="1"/>
  <c r="Q20" i="2" s="1"/>
  <c r="L19" i="2"/>
  <c r="L20" i="2"/>
  <c r="K19" i="2"/>
  <c r="K20" i="2"/>
  <c r="L8" i="2"/>
  <c r="S26" i="2"/>
  <c r="S27" i="2"/>
  <c r="S28" i="2"/>
  <c r="S29" i="2"/>
  <c r="S30" i="2"/>
  <c r="S31" i="2"/>
  <c r="S32" i="2"/>
  <c r="S33" i="2"/>
  <c r="S34" i="2"/>
  <c r="S35" i="2"/>
  <c r="S36" i="2"/>
  <c r="S37" i="2"/>
  <c r="S38" i="2"/>
  <c r="S39" i="2"/>
  <c r="S40" i="2"/>
  <c r="S41" i="2"/>
  <c r="S42" i="2"/>
  <c r="S43" i="2"/>
  <c r="S44" i="2"/>
  <c r="S45" i="2"/>
  <c r="S46" i="2"/>
  <c r="S47" i="2"/>
  <c r="S48" i="2"/>
  <c r="S49" i="2"/>
  <c r="S50" i="2"/>
  <c r="S52" i="2"/>
  <c r="S53" i="2"/>
  <c r="S54" i="2"/>
  <c r="S55" i="2"/>
  <c r="S56" i="2"/>
  <c r="S57" i="2"/>
  <c r="S58" i="2"/>
  <c r="S59" i="2"/>
  <c r="S60" i="2"/>
  <c r="S61" i="2"/>
  <c r="S62" i="2"/>
  <c r="S63" i="2"/>
  <c r="S64" i="2"/>
  <c r="S65" i="2"/>
  <c r="S66" i="2"/>
  <c r="S67" i="2"/>
  <c r="S68" i="2"/>
  <c r="S69" i="2"/>
  <c r="S70" i="2"/>
  <c r="P19" i="2" l="1"/>
  <c r="Q19" i="2"/>
  <c r="K7" i="2"/>
  <c r="K8" i="2"/>
  <c r="K9" i="2"/>
  <c r="K10" i="2"/>
  <c r="K11" i="2"/>
  <c r="K12" i="2"/>
  <c r="K13" i="2"/>
  <c r="K14" i="2"/>
  <c r="K15" i="2"/>
  <c r="K16" i="2"/>
  <c r="K17" i="2"/>
  <c r="K18" i="2"/>
  <c r="K21"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L7" i="2"/>
  <c r="L9" i="2"/>
  <c r="L10" i="2"/>
  <c r="L11" i="2"/>
  <c r="L12" i="2"/>
  <c r="L13" i="2"/>
  <c r="L14" i="2"/>
  <c r="L15" i="2"/>
  <c r="L16" i="2"/>
  <c r="L17" i="2"/>
  <c r="L18" i="2"/>
  <c r="L21"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N15" i="2"/>
  <c r="O15" i="2" s="1"/>
  <c r="N16" i="2"/>
  <c r="O16" i="2" s="1"/>
  <c r="N17" i="2"/>
  <c r="O17" i="2" s="1"/>
  <c r="P17" i="2" s="1"/>
  <c r="N18" i="2"/>
  <c r="O18" i="2" s="1"/>
  <c r="N21" i="2"/>
  <c r="N23" i="2"/>
  <c r="O23" i="2" s="1"/>
  <c r="N24" i="2"/>
  <c r="O24" i="2" s="1"/>
  <c r="Q24" i="2" s="1"/>
  <c r="N25" i="2"/>
  <c r="O25" i="2" s="1"/>
  <c r="N26" i="2"/>
  <c r="O26" i="2" s="1"/>
  <c r="N27" i="2"/>
  <c r="O27" i="2" s="1"/>
  <c r="N28" i="2"/>
  <c r="O28" i="2" s="1"/>
  <c r="N29" i="2"/>
  <c r="O29" i="2" s="1"/>
  <c r="N30" i="2"/>
  <c r="O30" i="2" s="1"/>
  <c r="N31" i="2"/>
  <c r="O31" i="2" s="1"/>
  <c r="N32" i="2"/>
  <c r="O32" i="2" s="1"/>
  <c r="Q32" i="2" s="1"/>
  <c r="N33" i="2"/>
  <c r="O33" i="2" s="1"/>
  <c r="N34" i="2"/>
  <c r="O34" i="2" s="1"/>
  <c r="N35" i="2"/>
  <c r="O35" i="2" s="1"/>
  <c r="N36" i="2"/>
  <c r="O36" i="2" s="1"/>
  <c r="N37" i="2"/>
  <c r="O37" i="2" s="1"/>
  <c r="N38" i="2"/>
  <c r="O38" i="2" s="1"/>
  <c r="N39" i="2"/>
  <c r="O39" i="2" s="1"/>
  <c r="N40" i="2"/>
  <c r="O40" i="2" s="1"/>
  <c r="Q40" i="2" s="1"/>
  <c r="N41" i="2"/>
  <c r="O41" i="2" s="1"/>
  <c r="N42" i="2"/>
  <c r="O42" i="2" s="1"/>
  <c r="N43" i="2"/>
  <c r="O43" i="2" s="1"/>
  <c r="N44" i="2"/>
  <c r="O44" i="2" s="1"/>
  <c r="N45" i="2"/>
  <c r="O45" i="2" s="1"/>
  <c r="N46" i="2"/>
  <c r="O46" i="2" s="1"/>
  <c r="N47" i="2"/>
  <c r="O47" i="2" s="1"/>
  <c r="N48" i="2"/>
  <c r="O48" i="2" s="1"/>
  <c r="Q48" i="2" s="1"/>
  <c r="N49" i="2"/>
  <c r="O49" i="2" s="1"/>
  <c r="N50" i="2"/>
  <c r="O50" i="2" s="1"/>
  <c r="N51" i="2"/>
  <c r="O51" i="2" s="1"/>
  <c r="N52" i="2"/>
  <c r="O52" i="2" s="1"/>
  <c r="N53" i="2"/>
  <c r="O53" i="2" s="1"/>
  <c r="N54" i="2"/>
  <c r="O54" i="2" s="1"/>
  <c r="P54" i="2" s="1"/>
  <c r="N55" i="2"/>
  <c r="O55" i="2" s="1"/>
  <c r="N56" i="2"/>
  <c r="O56" i="2" s="1"/>
  <c r="Q56" i="2" s="1"/>
  <c r="N57" i="2"/>
  <c r="O57" i="2" s="1"/>
  <c r="N58" i="2"/>
  <c r="O58" i="2" s="1"/>
  <c r="N59" i="2"/>
  <c r="O59" i="2" s="1"/>
  <c r="N60" i="2"/>
  <c r="O60" i="2" s="1"/>
  <c r="N61" i="2"/>
  <c r="O61" i="2" s="1"/>
  <c r="N62" i="2"/>
  <c r="O62" i="2" s="1"/>
  <c r="N63" i="2"/>
  <c r="O63" i="2" s="1"/>
  <c r="N64" i="2"/>
  <c r="O64" i="2" s="1"/>
  <c r="Q64" i="2" s="1"/>
  <c r="N65" i="2"/>
  <c r="O65" i="2" s="1"/>
  <c r="N66" i="2"/>
  <c r="O66" i="2" s="1"/>
  <c r="N67" i="2"/>
  <c r="O67" i="2" s="1"/>
  <c r="N68" i="2"/>
  <c r="O68" i="2" s="1"/>
  <c r="N69" i="2"/>
  <c r="O69" i="2" s="1"/>
  <c r="N70" i="2"/>
  <c r="O70" i="2" s="1"/>
  <c r="N8" i="2"/>
  <c r="O8" i="2" s="1"/>
  <c r="N9" i="2"/>
  <c r="O9" i="2" s="1"/>
  <c r="N10" i="2"/>
  <c r="O10" i="2" s="1"/>
  <c r="P10" i="2" s="1"/>
  <c r="N11" i="2"/>
  <c r="O11" i="2" s="1"/>
  <c r="N12" i="2"/>
  <c r="O12" i="2" s="1"/>
  <c r="P12" i="2" s="1"/>
  <c r="N13" i="2"/>
  <c r="O13" i="2" s="1"/>
  <c r="Q13" i="2" s="1"/>
  <c r="N14" i="2"/>
  <c r="O14" i="2" s="1"/>
  <c r="N7" i="2"/>
  <c r="O7" i="2" s="1"/>
  <c r="M22" i="2" l="1" a="1"/>
  <c r="M22" i="2" s="1"/>
  <c r="R19" i="2"/>
  <c r="O21" i="2"/>
  <c r="P21" i="2" s="1"/>
  <c r="M20" i="2" a="1"/>
  <c r="M20" i="2" s="1"/>
  <c r="M19" i="2" a="1"/>
  <c r="M19" i="2" s="1"/>
  <c r="M7" i="2" a="1"/>
  <c r="M7" i="2" s="1"/>
  <c r="M63" i="2" a="1"/>
  <c r="M63" i="2" s="1"/>
  <c r="M66" i="2" a="1"/>
  <c r="M66" i="2" s="1"/>
  <c r="M53" i="2" a="1"/>
  <c r="M53" i="2" s="1"/>
  <c r="M65" i="2" a="1"/>
  <c r="M65" i="2" s="1"/>
  <c r="M52" i="2" a="1"/>
  <c r="M52" i="2" s="1"/>
  <c r="M46" i="2" a="1"/>
  <c r="M46" i="2" s="1"/>
  <c r="M39" i="2" a="1"/>
  <c r="M39" i="2" s="1"/>
  <c r="M33" i="2" a="1"/>
  <c r="M33" i="2" s="1"/>
  <c r="M18" i="2" a="1"/>
  <c r="M18" i="2" s="1"/>
  <c r="M13" i="2" a="1"/>
  <c r="M13" i="2" s="1"/>
  <c r="M64" i="2" a="1"/>
  <c r="M64" i="2" s="1"/>
  <c r="M58" i="2" a="1"/>
  <c r="M58" i="2" s="1"/>
  <c r="M51" i="2" a="1"/>
  <c r="M51" i="2" s="1"/>
  <c r="M45" i="2" a="1"/>
  <c r="M45" i="2" s="1"/>
  <c r="M32" i="2" a="1"/>
  <c r="M32" i="2" s="1"/>
  <c r="M26" i="2" a="1"/>
  <c r="M26" i="2" s="1"/>
  <c r="M17" i="2" a="1"/>
  <c r="M17" i="2" s="1"/>
  <c r="M12" i="2" a="1"/>
  <c r="M12" i="2" s="1"/>
  <c r="M70" i="2" a="1"/>
  <c r="M70" i="2" s="1"/>
  <c r="M38" i="2" a="1"/>
  <c r="M38" i="2" s="1"/>
  <c r="M11" i="2" a="1"/>
  <c r="M11" i="2" s="1"/>
  <c r="M69" i="2" a="1"/>
  <c r="M69" i="2" s="1"/>
  <c r="M56" i="2" a="1"/>
  <c r="M56" i="2" s="1"/>
  <c r="M50" i="2" a="1"/>
  <c r="M50" i="2" s="1"/>
  <c r="M43" i="2" a="1"/>
  <c r="M43" i="2" s="1"/>
  <c r="M37" i="2" a="1"/>
  <c r="M37" i="2" s="1"/>
  <c r="M24" i="2" a="1"/>
  <c r="M24" i="2" s="1"/>
  <c r="M16" i="2" a="1"/>
  <c r="M16" i="2" s="1"/>
  <c r="M10" i="2" a="1"/>
  <c r="M10" i="2" s="1"/>
  <c r="M57" i="2" a="1"/>
  <c r="M57" i="2" s="1"/>
  <c r="M31" i="2" a="1"/>
  <c r="M31" i="2" s="1"/>
  <c r="M68" i="2" a="1"/>
  <c r="M68" i="2" s="1"/>
  <c r="M62" i="2" a="1"/>
  <c r="M62" i="2" s="1"/>
  <c r="M55" i="2" a="1"/>
  <c r="M55" i="2" s="1"/>
  <c r="M49" i="2" a="1"/>
  <c r="M49" i="2" s="1"/>
  <c r="M36" i="2" a="1"/>
  <c r="M36" i="2" s="1"/>
  <c r="M30" i="2" a="1"/>
  <c r="M30" i="2" s="1"/>
  <c r="M23" i="2" a="1"/>
  <c r="M23" i="2" s="1"/>
  <c r="M15" i="2" a="1"/>
  <c r="M15" i="2" s="1"/>
  <c r="M44" i="2" a="1"/>
  <c r="M44" i="2" s="1"/>
  <c r="M25" i="2" a="1"/>
  <c r="M25" i="2" s="1"/>
  <c r="M67" i="2" a="1"/>
  <c r="M67" i="2" s="1"/>
  <c r="M61" i="2" a="1"/>
  <c r="M61" i="2" s="1"/>
  <c r="M48" i="2" a="1"/>
  <c r="M48" i="2" s="1"/>
  <c r="M42" i="2" a="1"/>
  <c r="M42" i="2" s="1"/>
  <c r="M35" i="2" a="1"/>
  <c r="M35" i="2" s="1"/>
  <c r="M29" i="2" a="1"/>
  <c r="M29" i="2" s="1"/>
  <c r="M9" i="2" a="1"/>
  <c r="M9" i="2" s="1"/>
  <c r="M60" i="2" a="1"/>
  <c r="M60" i="2" s="1"/>
  <c r="M54" i="2" a="1"/>
  <c r="M54" i="2" s="1"/>
  <c r="M47" i="2" a="1"/>
  <c r="M47" i="2" s="1"/>
  <c r="M41" i="2" a="1"/>
  <c r="M41" i="2" s="1"/>
  <c r="M28" i="2" a="1"/>
  <c r="M28" i="2" s="1"/>
  <c r="M21" i="2" a="1"/>
  <c r="M21" i="2" s="1"/>
  <c r="M14" i="2" a="1"/>
  <c r="M14" i="2" s="1"/>
  <c r="M8" i="2" a="1"/>
  <c r="M8" i="2" s="1"/>
  <c r="M59" i="2" a="1"/>
  <c r="M59" i="2" s="1"/>
  <c r="M40" i="2" a="1"/>
  <c r="M40" i="2" s="1"/>
  <c r="M34" i="2" a="1"/>
  <c r="M34" i="2" s="1"/>
  <c r="M27" i="2" a="1"/>
  <c r="M27" i="2" s="1"/>
  <c r="P62" i="2"/>
  <c r="Q62" i="2"/>
  <c r="P70" i="2"/>
  <c r="Q70" i="2"/>
  <c r="P46" i="2"/>
  <c r="Q46" i="2"/>
  <c r="P30" i="2"/>
  <c r="Q30" i="2"/>
  <c r="P38" i="2"/>
  <c r="Q38" i="2"/>
  <c r="Q54" i="2"/>
  <c r="R54" i="2" s="1"/>
  <c r="P67" i="2"/>
  <c r="Q67" i="2"/>
  <c r="P35" i="2"/>
  <c r="Q35" i="2"/>
  <c r="P27" i="2"/>
  <c r="Q27" i="2"/>
  <c r="P52" i="2"/>
  <c r="Q52" i="2"/>
  <c r="Q26" i="2"/>
  <c r="P26" i="2"/>
  <c r="P44" i="2"/>
  <c r="Q44" i="2"/>
  <c r="P43" i="2"/>
  <c r="Q43" i="2"/>
  <c r="Q42" i="2"/>
  <c r="P42" i="2"/>
  <c r="Q65" i="2"/>
  <c r="P65" i="2"/>
  <c r="Q49" i="2"/>
  <c r="P49" i="2"/>
  <c r="Q41" i="2"/>
  <c r="P41" i="2"/>
  <c r="Q25" i="2"/>
  <c r="P25" i="2"/>
  <c r="P68" i="2"/>
  <c r="Q68" i="2"/>
  <c r="P36" i="2"/>
  <c r="Q36" i="2"/>
  <c r="Q50" i="2"/>
  <c r="P50" i="2"/>
  <c r="Q34" i="2"/>
  <c r="P34" i="2"/>
  <c r="Q57" i="2"/>
  <c r="P57" i="2"/>
  <c r="Q33" i="2"/>
  <c r="P33" i="2"/>
  <c r="P28" i="2"/>
  <c r="Q28" i="2"/>
  <c r="Q59" i="2"/>
  <c r="P59" i="2"/>
  <c r="Q66" i="2"/>
  <c r="P66" i="2"/>
  <c r="Q55" i="2"/>
  <c r="P55" i="2"/>
  <c r="Q39" i="2"/>
  <c r="P39" i="2"/>
  <c r="Q23" i="2"/>
  <c r="P23" i="2"/>
  <c r="P60" i="2"/>
  <c r="Q60" i="2"/>
  <c r="P18" i="2"/>
  <c r="Q18" i="2"/>
  <c r="P51" i="2"/>
  <c r="Q51" i="2"/>
  <c r="Q58" i="2"/>
  <c r="P58" i="2"/>
  <c r="Q63" i="2"/>
  <c r="P63" i="2"/>
  <c r="Q47" i="2"/>
  <c r="P47" i="2"/>
  <c r="Q31" i="2"/>
  <c r="P31" i="2"/>
  <c r="P69" i="2"/>
  <c r="Q69" i="2"/>
  <c r="P61" i="2"/>
  <c r="Q61" i="2"/>
  <c r="P53" i="2"/>
  <c r="Q53" i="2"/>
  <c r="P45" i="2"/>
  <c r="Q45" i="2"/>
  <c r="P37" i="2"/>
  <c r="Q37" i="2"/>
  <c r="P29" i="2"/>
  <c r="Q29" i="2"/>
  <c r="P20" i="2"/>
  <c r="R20" i="2" s="1"/>
  <c r="P64" i="2"/>
  <c r="R64" i="2" s="1"/>
  <c r="P56" i="2"/>
  <c r="R56" i="2" s="1"/>
  <c r="P48" i="2"/>
  <c r="R48" i="2" s="1"/>
  <c r="P40" i="2"/>
  <c r="R40" i="2" s="1"/>
  <c r="P32" i="2"/>
  <c r="R32" i="2" s="1"/>
  <c r="P24" i="2"/>
  <c r="R24" i="2" s="1"/>
  <c r="Q9" i="2"/>
  <c r="P9" i="2"/>
  <c r="P8" i="2"/>
  <c r="Q8" i="2"/>
  <c r="Q14" i="2"/>
  <c r="P14" i="2"/>
  <c r="Q16" i="2"/>
  <c r="P16" i="2"/>
  <c r="Q7" i="2"/>
  <c r="P7" i="2"/>
  <c r="P11" i="2"/>
  <c r="Q11" i="2"/>
  <c r="P15" i="2"/>
  <c r="Q15" i="2"/>
  <c r="P13" i="2"/>
  <c r="R13" i="2" s="1"/>
  <c r="Q10" i="2"/>
  <c r="R10" i="2" s="1"/>
  <c r="Q12" i="2"/>
  <c r="R12" i="2" s="1"/>
  <c r="Q17" i="2"/>
  <c r="R17" i="2" s="1"/>
  <c r="G8" i="7"/>
  <c r="G9" i="7"/>
  <c r="G10" i="7"/>
  <c r="G11" i="7"/>
  <c r="G12" i="7"/>
  <c r="G13" i="7"/>
  <c r="G14" i="7"/>
  <c r="G15" i="7"/>
  <c r="G16" i="7"/>
  <c r="G7" i="7"/>
  <c r="Q21" i="2" l="1"/>
  <c r="R21" i="2" s="1"/>
  <c r="R16" i="2"/>
  <c r="R70" i="2"/>
  <c r="R14" i="2"/>
  <c r="R58" i="2"/>
  <c r="R23" i="2"/>
  <c r="R59" i="2"/>
  <c r="R30" i="2"/>
  <c r="R34" i="2"/>
  <c r="R25" i="2"/>
  <c r="R42" i="2"/>
  <c r="R63" i="2"/>
  <c r="R66" i="2"/>
  <c r="R57" i="2"/>
  <c r="R65" i="2"/>
  <c r="R26" i="2"/>
  <c r="R46" i="2"/>
  <c r="R31" i="2"/>
  <c r="R39" i="2"/>
  <c r="R50" i="2"/>
  <c r="R41" i="2"/>
  <c r="R53" i="2"/>
  <c r="R18" i="2"/>
  <c r="R36" i="2"/>
  <c r="R44" i="2"/>
  <c r="R35" i="2"/>
  <c r="R38" i="2"/>
  <c r="R62" i="2"/>
  <c r="R37" i="2"/>
  <c r="R69" i="2"/>
  <c r="R52" i="2"/>
  <c r="R45" i="2"/>
  <c r="R51" i="2"/>
  <c r="R28" i="2"/>
  <c r="R43" i="2"/>
  <c r="R27" i="2"/>
  <c r="R8" i="2"/>
  <c r="R7" i="2"/>
  <c r="R47" i="2"/>
  <c r="R55" i="2"/>
  <c r="R33" i="2"/>
  <c r="R49" i="2"/>
  <c r="R29" i="2"/>
  <c r="R61" i="2"/>
  <c r="R60" i="2"/>
  <c r="R68" i="2"/>
  <c r="R67" i="2"/>
  <c r="R11" i="2"/>
  <c r="R15" i="2"/>
  <c r="R9" i="2"/>
  <c r="S12" i="2" l="1"/>
  <c r="R71" i="2"/>
  <c r="S9" i="2"/>
  <c r="S10" i="2"/>
  <c r="S11" i="2"/>
  <c r="H7" i="2" l="1"/>
  <c r="T7" i="2" s="1"/>
  <c r="J7" i="2" l="1"/>
  <c r="S7" i="2" s="1"/>
  <c r="U7" i="2" l="1"/>
  <c r="U48" i="2"/>
  <c r="U32" i="2"/>
  <c r="U57" i="2"/>
  <c r="U29" i="2"/>
  <c r="U9" i="2"/>
  <c r="U47" i="2"/>
  <c r="U36" i="2"/>
  <c r="U43" i="2"/>
  <c r="U41" i="2"/>
  <c r="U31" i="2"/>
  <c r="U40" i="2"/>
  <c r="U14" i="2"/>
  <c r="U53" i="2"/>
  <c r="U15" i="2"/>
  <c r="U54" i="2"/>
  <c r="U27" i="2"/>
  <c r="U49" i="2"/>
  <c r="U10" i="2"/>
  <c r="U68" i="2"/>
  <c r="U69" i="2"/>
  <c r="U21" i="2"/>
  <c r="U56" i="2"/>
  <c r="U16" i="2"/>
  <c r="U28" i="2"/>
  <c r="U55" i="2"/>
  <c r="U45" i="2"/>
  <c r="U11" i="2"/>
  <c r="U42" i="2"/>
  <c r="U23" i="2"/>
  <c r="U25" i="2"/>
  <c r="U19" i="2"/>
  <c r="U37" i="2"/>
  <c r="U34" i="2"/>
  <c r="U12" i="2"/>
  <c r="U17" i="2"/>
  <c r="U63" i="2"/>
  <c r="U64" i="2"/>
  <c r="U60" i="2" l="1"/>
  <c r="U44" i="2"/>
  <c r="U20" i="2"/>
  <c r="U30" i="2"/>
  <c r="U38" i="2"/>
  <c r="U46" i="2"/>
  <c r="U61" i="2"/>
  <c r="U50" i="2"/>
  <c r="U65" i="2"/>
  <c r="U59" i="2"/>
  <c r="U26" i="2"/>
  <c r="U67" i="2"/>
  <c r="U52" i="2"/>
  <c r="U18" i="2"/>
  <c r="U13" i="2"/>
  <c r="U35" i="2"/>
  <c r="U58" i="2"/>
  <c r="U66" i="2"/>
  <c r="U33" i="2"/>
  <c r="S51" i="2"/>
  <c r="U24" i="2"/>
  <c r="U62" i="2"/>
  <c r="U70" i="2"/>
  <c r="U39" i="2"/>
  <c r="S8" i="2"/>
  <c r="U8" i="2" s="1"/>
  <c r="S71" i="2" l="1"/>
  <c r="U51" i="2"/>
  <c r="U7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<sst xmlns="http://schemas.openxmlformats.org/spreadsheetml/2006/main" count="575" uniqueCount="166">
  <si>
    <t>Company Name:</t>
  </si>
  <si>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</si>
  <si>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</si>
  <si>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</si>
  <si>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</si>
  <si>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</si>
  <si>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</si>
  <si>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</si>
  <si>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Waiver</t>
  </si>
  <si>
    <t>Combined</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</si>
  <si>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</si>
  <si>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</si>
  <si>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</si>
  <si>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</si>
  <si>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</si>
  <si>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</si>
  <si>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</si>
  <si>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</si>
  <si>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</si>
  <si>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</si>
  <si>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</si>
  <si>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</si>
  <si>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</si>
  <si>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</si>
  <si>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</si>
  <si>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</si>
  <si>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</si>
  <si>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</si>
  <si>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</si>
  <si>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</si>
  <si>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Increment</t>
  </si>
  <si>
    <t>Description</t>
  </si>
  <si>
    <t>Amount</t>
  </si>
  <si>
    <t>Fee Schedule Set</t>
  </si>
  <si>
    <t>Behavioral Consultation</t>
  </si>
  <si>
    <t>15MIN</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</si>
  <si>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</si>
  <si>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</si>
  <si>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</si>
  <si>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</si>
  <si>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</si>
  <si>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</si>
  <si>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</si>
  <si>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</si>
  <si>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</si>
  <si>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</si>
  <si>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</si>
  <si>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</si>
  <si>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</si>
  <si>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</si>
  <si>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</si>
  <si>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</si>
  <si>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</si>
  <si>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</si>
  <si>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</si>
  <si>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</si>
  <si>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</si>
  <si>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</si>
  <si>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</si>
  <si>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</si>
  <si>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</si>
  <si>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</si>
  <si>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</si>
  <si>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</si>
  <si>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</si>
  <si>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</si>
  <si>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</si>
  <si>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</si>
  <si>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Program:</t>
  </si>
  <si>
    <t>Customer DOB:</t>
  </si>
  <si>
    <t>Trip</t>
  </si>
  <si>
    <t>Days</t>
  </si>
  <si>
    <t>8Behavioral Consultation</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</si>
  <si>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</si>
  <si>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</si>
  <si>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</si>
  <si>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</si>
  <si>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</si>
  <si>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</si>
  <si>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</si>
  <si>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</si>
  <si>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</si>
  <si>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</si>
  <si>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</si>
  <si>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</si>
  <si>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</si>
  <si>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</si>
  <si>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</si>
  <si>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</si>
  <si>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</si>
  <si>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</si>
  <si>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</si>
  <si>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</si>
  <si>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</si>
  <si>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</si>
  <si>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</si>
  <si>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</si>
  <si>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</si>
  <si>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</si>
  <si>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</si>
  <si>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</si>
  <si>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</si>
  <si>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</si>
  <si>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</si>
  <si>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</si>
  <si>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</si>
  <si>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</si>
  <si>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 xml:space="preserve">* RMHS will reimburse at the most current rates. Rows can be unhidden/hidden to edit number of lines on the invoice. </t>
  </si>
  <si>
    <t>Customer Legal Name:</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</si>
  <si>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</si>
  <si>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</si>
  <si>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</si>
  <si>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</si>
  <si>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</si>
  <si>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</si>
  <si>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</si>
  <si>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</si>
  <si>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</si>
  <si>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</si>
  <si>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</si>
  <si>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</si>
  <si>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</si>
  <si>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</si>
  <si>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</si>
  <si>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</si>
  <si>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</si>
  <si>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</si>
  <si>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</si>
  <si>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</si>
  <si>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</si>
  <si>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</si>
  <si>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</si>
  <si>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</si>
  <si>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</si>
  <si>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</si>
  <si>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</si>
  <si>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</si>
  <si>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</si>
  <si>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</si>
  <si>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</si>
  <si>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</si>
  <si>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</si>
  <si>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</si>
  <si>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</si>
  <si>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</si>
  <si>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</si>
  <si>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</si>
  <si>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</si>
  <si>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</si>
  <si>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</si>
  <si>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County of Service</t>
  </si>
  <si>
    <t>Denver</t>
  </si>
  <si>
    <t>Non-Denver</t>
  </si>
  <si>
    <t>Program Code</t>
  </si>
  <si>
    <t>County</t>
  </si>
  <si>
    <t>State SLS- Mirrors level 4 rates</t>
  </si>
  <si>
    <t>OBRA- Mirrors level 6 rates</t>
  </si>
  <si>
    <t>W/ Sis &amp; Coutny</t>
  </si>
  <si>
    <t>July 2025-June 2026 State SLS &amp; OBRA Invoice- Rocky Mountain Human Services</t>
  </si>
  <si>
    <t>Template effective 7/1/25-6/30/26, pending any applicable changes to the HCPF fee schedule</t>
  </si>
  <si>
    <t xml:space="preserve">Attention: Please verify that all text is visible prior to submission. This document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Case Manager if the plan is not meeting the customer's need and a revision is needed. Retroactive revisions will not be permitted. </t>
  </si>
  <si>
    <t>9Transportation (Non-Medical)</t>
  </si>
  <si>
    <t>Mileage Band 1 (0-10 Miles)</t>
  </si>
  <si>
    <t>Mileage Band 2 (11-20 Miles)</t>
  </si>
  <si>
    <t>Mileage Band 3 (Over 20 Miles)</t>
  </si>
  <si>
    <t>Revised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</si>
</sst>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20" x14ac:knownFonts="1">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b/>
      <sz val="8"/>
      <color theme="0"/>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theme="5"/>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theme="5"/>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808080"/>
      </left>
      <right style="thin">
        <color rgb="FF808080"/>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1" fillId="0" borderId="0" applyFont="0" applyFill="0" applyBorder="0" applyAlignment="0" applyProtection="0"/>
  </cellStyleXfs>
  <cellXfs count="185">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5" fontId="1" fillId="2" borderId="8" xfId="0" applyNumberFormat="1" applyFont="1" applyFill="1" applyBorder="1" applyAlignment="1" applyProtection="1">
      <alignment horizontal="left"/>
      <protection locked="0"/>
    </xf>
    <xf numFmtId="164" fontId="1" fillId="0" borderId="8" xfId="0" applyNumberFormat="1" applyFont="1" applyBorder="1" applyProtection="1">
      <protection locked="0"/>
    </xf>
    <xf numFmtId="0" fontId="1" fillId="0" borderId="8" xfId="0" applyFont="1" applyBorder="1" applyProtection="1">
      <protection locked="0"/>
    </xf>
    <xf numFmtId="0" fontId="3" fillId="0" borderId="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6" xfId="0" applyFont="1" applyBorder="1" applyProtection="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10" xfId="0" applyFont="1" applyBorder="1" applyAlignment="1">
      <alignment wrapText="1"/>
    </xf>
    <xf numFmtId="1" fontId="1" fillId="0" borderId="11"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4" fontId="1" fillId="0" borderId="0" xfId="0" applyNumberFormat="1" applyFont="1" applyProtection="1">
      <protection locked="0"/>
    </xf>
    <xf numFmtId="0" fontId="6" fillId="0" borderId="0" xfId="1" applyFont="1" applyFill="1" applyBorder="1" applyAlignment="1" applyProtection="1">
      <alignment vertical="center" wrapText="1"/>
      <protection locked="0"/>
    </xf>
    <xf numFmtId="0" fontId="3" fillId="0" borderId="8" xfId="0" applyFont="1" applyBorder="1" applyProtection="1">
      <protection locked="0"/>
    </xf>
    <xf numFmtId="164" fontId="1" fillId="0" borderId="0" xfId="2" applyNumberFormat="1" applyAlignment="1" applyProtection="1">
      <alignment horizontal="center" wrapText="1"/>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5" fontId="1" fillId="0" borderId="0" xfId="2" applyNumberFormat="1" applyAlignment="1" applyProtection="1">
      <alignment horizontal="left"/>
      <protection locked="0"/>
    </xf>
    <xf numFmtId="164" fontId="1" fillId="0" borderId="0" xfId="2" applyNumberFormat="1" applyProtection="1">
      <protection locked="0"/>
    </xf>
    <xf numFmtId="0" fontId="1" fillId="0" borderId="0" xfId="2" applyProtection="1">
      <protection locked="0"/>
    </xf>
    <xf numFmtId="164" fontId="1" fillId="0" borderId="8" xfId="2" applyNumberFormat="1" applyBorder="1" applyProtection="1">
      <protection locked="0"/>
    </xf>
    <xf numFmtId="165" fontId="1" fillId="0" borderId="8" xfId="2" applyNumberFormat="1" applyBorder="1" applyAlignment="1" applyProtection="1">
      <alignment horizontal="left"/>
      <protection locked="0"/>
    </xf>
    <xf numFmtId="0" fontId="4" fillId="0" borderId="8" xfId="2" applyFont="1" applyBorder="1" applyProtection="1">
      <protection locked="0"/>
    </xf>
    <xf numFmtId="0" fontId="1" fillId="0" borderId="8" xfId="2" applyBorder="1" applyProtection="1">
      <protection locked="0"/>
    </xf>
    <xf numFmtId="165" fontId="3" fillId="0" borderId="0" xfId="2" applyNumberFormat="1" applyFont="1" applyAlignment="1" applyProtection="1">
      <alignment horizontal="center"/>
      <protection locked="0"/>
    </xf>
    <xf numFmtId="0" fontId="1" fillId="0" borderId="3" xfId="2" applyBorder="1" applyProtection="1">
      <protection locked="0"/>
    </xf>
    <xf numFmtId="0" fontId="1" fillId="2" borderId="9"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7" xfId="0" applyFont="1" applyBorder="1" applyProtection="1">
      <protection locked="0"/>
    </xf>
    <xf numFmtId="167" fontId="1" fillId="2" borderId="8" xfId="0" applyNumberFormat="1" applyFont="1" applyFill="1" applyBorder="1" applyAlignment="1" applyProtection="1">
      <alignment horizontal="left"/>
      <protection locked="0"/>
    </xf>
    <xf numFmtId="0" fontId="3" fillId="0" borderId="0" xfId="0" applyFont="1" applyProtection="1">
      <protection locked="0" hidden="1"/>
    </xf>
    <xf numFmtId="0" fontId="1" fillId="0" borderId="25"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14" fontId="1" fillId="0" borderId="24" xfId="0" applyNumberFormat="1" applyFont="1" applyBorder="1" applyAlignment="1" applyProtection="1">
      <alignment horizontal="center" vertical="center" wrapText="1"/>
      <protection locked="0"/>
    </xf>
    <xf numFmtId="164" fontId="1" fillId="0" borderId="24"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64" fontId="1" fillId="0" borderId="19" xfId="0" applyNumberFormat="1" applyFont="1" applyBorder="1" applyAlignment="1" applyProtection="1">
      <alignment horizontal="center" vertical="center" wrapText="1"/>
      <protection locked="0"/>
    </xf>
    <xf numFmtId="44" fontId="0" fillId="0" borderId="0" xfId="3" applyFont="1"/>
    <xf numFmtId="49" fontId="1" fillId="0" borderId="8" xfId="0" applyNumberFormat="1" applyFont="1" applyBorder="1" applyProtection="1">
      <protection locked="0"/>
    </xf>
    <xf numFmtId="49" fontId="1" fillId="0" borderId="0" xfId="2" applyNumberFormat="1" applyAlignment="1" applyProtection="1">
      <alignment horizontal="center" wrapText="1"/>
      <protection locked="0"/>
    </xf>
    <xf numFmtId="49" fontId="1" fillId="0" borderId="8" xfId="2" applyNumberFormat="1" applyBorder="1" applyProtection="1">
      <protection locked="0"/>
    </xf>
    <xf numFmtId="49" fontId="3" fillId="0" borderId="0" xfId="0" applyNumberFormat="1" applyFont="1" applyProtection="1">
      <protection locked="0"/>
    </xf>
    <xf numFmtId="0" fontId="1" fillId="0" borderId="2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4" fontId="1" fillId="0" borderId="0" xfId="3" applyFont="1"/>
    <xf numFmtId="49" fontId="13" fillId="5" borderId="30" xfId="0" applyNumberFormat="1" applyFont="1" applyFill="1" applyBorder="1" applyAlignment="1">
      <alignment horizontal="left" vertical="center" readingOrder="1"/>
    </xf>
    <xf numFmtId="169" fontId="13" fillId="5" borderId="30" xfId="0" applyNumberFormat="1" applyFont="1" applyFill="1" applyBorder="1" applyAlignment="1">
      <alignment horizontal="left" vertical="center" readingOrder="1"/>
    </xf>
    <xf numFmtId="0" fontId="3" fillId="0" borderId="0" xfId="0" applyFont="1" applyAlignment="1" applyProtection="1">
      <alignment horizontal="left"/>
      <protection locked="0"/>
    </xf>
    <xf numFmtId="0" fontId="6" fillId="6" borderId="6" xfId="0" applyFont="1" applyFill="1" applyBorder="1" applyAlignment="1" applyProtection="1">
      <alignment horizontal="center" vertical="center" wrapText="1"/>
      <protection locked="0"/>
    </xf>
    <xf numFmtId="49" fontId="6" fillId="6" borderId="20" xfId="0" applyNumberFormat="1" applyFont="1" applyFill="1" applyBorder="1" applyAlignment="1" applyProtection="1">
      <alignment horizontal="center" vertical="center" wrapText="1"/>
      <protection locked="0"/>
    </xf>
    <xf numFmtId="165" fontId="6" fillId="6" borderId="20" xfId="0" applyNumberFormat="1" applyFont="1" applyFill="1" applyBorder="1" applyAlignment="1" applyProtection="1">
      <alignment horizontal="center" vertical="center" wrapText="1"/>
      <protection locked="0"/>
    </xf>
    <xf numFmtId="164" fontId="6" fillId="6" borderId="20" xfId="0" applyNumberFormat="1" applyFont="1" applyFill="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left" vertical="center" wrapText="1"/>
      <protection locked="0"/>
    </xf>
    <xf numFmtId="0" fontId="10" fillId="6" borderId="18" xfId="0" applyFont="1" applyFill="1" applyBorder="1" applyAlignment="1" applyProtection="1">
      <alignment horizontal="center" vertical="center" wrapText="1"/>
      <protection locked="0"/>
    </xf>
    <xf numFmtId="49" fontId="6" fillId="6" borderId="20" xfId="0" applyNumberFormat="1" applyFont="1" applyFill="1" applyBorder="1" applyAlignment="1">
      <alignment horizontal="center" vertical="center" wrapText="1"/>
    </xf>
    <xf numFmtId="164" fontId="6" fillId="6" borderId="20" xfId="0" applyNumberFormat="1" applyFont="1" applyFill="1" applyBorder="1" applyAlignment="1">
      <alignment horizontal="center" vertical="center" wrapText="1"/>
    </xf>
    <xf numFmtId="17" fontId="6" fillId="6" borderId="20" xfId="0" applyNumberFormat="1" applyFont="1" applyFill="1" applyBorder="1" applyAlignment="1">
      <alignment horizontal="center" vertical="center"/>
    </xf>
    <xf numFmtId="17" fontId="6" fillId="6" borderId="20" xfId="0" applyNumberFormat="1" applyFont="1" applyFill="1" applyBorder="1" applyAlignment="1">
      <alignment horizontal="center" vertical="center" wrapText="1"/>
    </xf>
    <xf numFmtId="0" fontId="6" fillId="6" borderId="20" xfId="0" applyFont="1" applyFill="1" applyBorder="1" applyAlignment="1">
      <alignment horizontal="center" vertical="center" wrapText="1"/>
    </xf>
    <xf numFmtId="17" fontId="6" fillId="6" borderId="18" xfId="0" applyNumberFormat="1" applyFont="1" applyFill="1" applyBorder="1" applyAlignment="1">
      <alignment horizontal="center" vertical="center"/>
    </xf>
    <xf numFmtId="17" fontId="6" fillId="6" borderId="23" xfId="0" applyNumberFormat="1" applyFont="1" applyFill="1" applyBorder="1" applyAlignment="1">
      <alignment horizontal="center" vertical="center" wrapText="1"/>
    </xf>
    <xf numFmtId="49" fontId="1" fillId="0" borderId="24" xfId="0" applyNumberFormat="1" applyFont="1" applyBorder="1" applyAlignment="1">
      <alignment horizontal="center" vertical="center" wrapText="1"/>
    </xf>
    <xf numFmtId="166" fontId="1"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168" fontId="1" fillId="0" borderId="1"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0" fontId="10" fillId="3" borderId="18"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 xfId="0"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 fontId="1" fillId="0" borderId="14" xfId="0" applyNumberFormat="1" applyFont="1" applyBorder="1" applyAlignment="1">
      <alignment horizontal="center" wrapText="1"/>
    </xf>
    <xf numFmtId="0" fontId="1" fillId="0" borderId="32" xfId="0" applyFont="1" applyBorder="1" applyAlignment="1">
      <alignment wrapText="1"/>
    </xf>
    <xf numFmtId="14" fontId="1" fillId="0" borderId="33" xfId="0" applyNumberFormat="1" applyFont="1" applyBorder="1" applyAlignment="1">
      <alignment wrapText="1"/>
    </xf>
    <xf numFmtId="1" fontId="1" fillId="0" borderId="33" xfId="0" applyNumberFormat="1" applyFont="1" applyBorder="1" applyAlignment="1">
      <alignment wrapText="1"/>
    </xf>
    <xf numFmtId="0" fontId="1" fillId="0" borderId="33" xfId="0" applyFont="1" applyBorder="1" applyAlignment="1">
      <alignment wrapText="1"/>
    </xf>
    <xf numFmtId="1" fontId="1" fillId="0" borderId="34" xfId="0" applyNumberFormat="1" applyFont="1" applyBorder="1" applyAlignment="1">
      <alignment horizontal="center" wrapText="1"/>
    </xf>
    <xf numFmtId="14" fontId="13" fillId="5" borderId="30" xfId="0" applyNumberFormat="1" applyFont="1" applyFill="1" applyBorder="1" applyAlignment="1">
      <alignment horizontal="left" vertical="center" readingOrder="1"/>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4" fillId="8" borderId="38" xfId="0" applyFont="1" applyFill="1" applyBorder="1" applyAlignment="1">
      <alignment horizontal="center" vertical="center"/>
    </xf>
    <xf numFmtId="0" fontId="15" fillId="0" borderId="0" xfId="0" applyFont="1"/>
    <xf numFmtId="0" fontId="5" fillId="0" borderId="1" xfId="1" applyBorder="1" applyAlignment="1" applyProtection="1"/>
    <xf numFmtId="0" fontId="5" fillId="0" borderId="38" xfId="1" applyBorder="1" applyAlignment="1" applyProtection="1"/>
    <xf numFmtId="0" fontId="16" fillId="8" borderId="38" xfId="0" applyFont="1" applyFill="1" applyBorder="1" applyAlignment="1">
      <alignment horizontal="center" vertical="center"/>
    </xf>
    <xf numFmtId="0" fontId="5" fillId="0" borderId="18" xfId="1" applyFill="1" applyBorder="1" applyAlignment="1" applyProtection="1"/>
    <xf numFmtId="0" fontId="5" fillId="0" borderId="33" xfId="1" applyFill="1" applyBorder="1" applyAlignment="1" applyProtection="1"/>
    <xf numFmtId="0" fontId="5" fillId="0" borderId="0" xfId="1" applyFill="1" applyBorder="1" applyAlignment="1" applyProtection="1"/>
    <xf numFmtId="0" fontId="5" fillId="0" borderId="18" xfId="1" applyBorder="1" applyAlignment="1" applyProtection="1">
      <alignment vertical="center"/>
    </xf>
    <xf numFmtId="0" fontId="5" fillId="0" borderId="18" xfId="1" applyBorder="1" applyAlignment="1" applyProtection="1"/>
    <xf numFmtId="0" fontId="5" fillId="0" borderId="33" xfId="1" applyBorder="1" applyAlignment="1" applyProtection="1"/>
    <xf numFmtId="0" fontId="17" fillId="0" borderId="0" xfId="0" applyFont="1"/>
    <xf numFmtId="0" fontId="3" fillId="0" borderId="18" xfId="0" applyFont="1" applyBorder="1"/>
    <xf numFmtId="0" fontId="0" fillId="0" borderId="18" xfId="0" applyBorder="1"/>
    <xf numFmtId="0" fontId="0" fillId="0" borderId="33" xfId="0" applyBorder="1"/>
    <xf numFmtId="0" fontId="6" fillId="6" borderId="35" xfId="0" applyFont="1" applyFill="1" applyBorder="1" applyAlignment="1">
      <alignment horizontal="center"/>
    </xf>
    <xf numFmtId="0" fontId="6" fillId="6" borderId="36" xfId="0" applyFont="1" applyFill="1" applyBorder="1" applyAlignment="1">
      <alignment horizontal="center"/>
    </xf>
    <xf numFmtId="8" fontId="6" fillId="6" borderId="15" xfId="0" applyNumberFormat="1" applyFont="1" applyFill="1" applyBorder="1" applyAlignment="1" applyProtection="1">
      <alignment horizontal="center"/>
      <protection locked="0"/>
    </xf>
    <xf numFmtId="1" fontId="6" fillId="6" borderId="36" xfId="0" applyNumberFormat="1" applyFont="1" applyFill="1" applyBorder="1" applyAlignment="1">
      <alignment horizontal="center"/>
    </xf>
    <xf numFmtId="1" fontId="6" fillId="6" borderId="37" xfId="0" applyNumberFormat="1" applyFont="1" applyFill="1" applyBorder="1" applyAlignment="1">
      <alignment horizontal="center"/>
    </xf>
    <xf numFmtId="17"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165" fontId="18" fillId="0" borderId="0" xfId="0" applyNumberFormat="1" applyFont="1" applyAlignment="1" applyProtection="1">
      <alignment horizontal="left"/>
      <protection locked="0"/>
    </xf>
    <xf numFmtId="164" fontId="18" fillId="0" borderId="0" xfId="0" applyNumberFormat="1" applyFont="1" applyProtection="1">
      <protection locked="0"/>
    </xf>
    <xf numFmtId="164" fontId="19" fillId="0" borderId="0" xfId="0" applyNumberFormat="1" applyFont="1" applyProtection="1">
      <protection locked="0"/>
    </xf>
    <xf numFmtId="49" fontId="19" fillId="0" borderId="0" xfId="0" applyNumberFormat="1" applyFont="1" applyProtection="1">
      <protection locked="0"/>
    </xf>
    <xf numFmtId="0" fontId="19" fillId="0" borderId="0" xfId="0" applyFont="1" applyProtection="1">
      <protection locked="0" hidden="1"/>
    </xf>
    <xf numFmtId="0" fontId="19" fillId="0" borderId="0" xfId="0" applyFont="1" applyProtection="1">
      <protection locked="0"/>
    </xf>
    <xf numFmtId="0" fontId="7" fillId="0" borderId="0" xfId="0" applyFont="1" applyAlignment="1" applyProtection="1">
      <alignment horizontal="center"/>
      <protection locked="0"/>
    </xf>
    <xf numFmtId="0" fontId="1" fillId="0" borderId="0" xfId="0" applyFont="1" applyAlignment="1">
      <alignment horizontal="center" wrapText="1"/>
    </xf>
    <xf numFmtId="0" fontId="6" fillId="0" borderId="0" xfId="0" applyFont="1" applyAlignment="1" applyProtection="1">
      <alignment horizontal="center"/>
      <protection locked="0"/>
    </xf>
    <xf numFmtId="0" fontId="12" fillId="0" borderId="0" xfId="0" applyFont="1" applyAlignment="1" applyProtection="1">
      <alignment horizontal="center" vertical="center" wrapText="1"/>
      <protection locked="0"/>
    </xf>
    <xf numFmtId="17" fontId="6" fillId="0" borderId="0" xfId="0" applyNumberFormat="1" applyFont="1" applyAlignment="1" applyProtection="1">
      <alignment horizontal="center" vertical="center" wrapText="1"/>
      <protection locked="0"/>
    </xf>
    <xf numFmtId="168" fontId="1" fillId="0" borderId="0" xfId="0" applyNumberFormat="1" applyFont="1" applyAlignment="1">
      <alignment horizontal="center" vertical="center" wrapText="1"/>
    </xf>
    <xf numFmtId="0" fontId="6" fillId="0" borderId="0" xfId="1" applyFont="1" applyFill="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4" fontId="1" fillId="0" borderId="0" xfId="3" applyFont="1" applyBorder="1"/>
    <xf numFmtId="49" fontId="1" fillId="0" borderId="33" xfId="0" applyNumberFormat="1" applyFont="1" applyBorder="1" applyAlignment="1">
      <alignment horizontal="center" vertical="center" wrapText="1"/>
    </xf>
    <xf numFmtId="49" fontId="10" fillId="6" borderId="18" xfId="0" applyNumberFormat="1" applyFont="1" applyFill="1" applyBorder="1" applyAlignment="1">
      <alignment horizontal="center" vertical="center" wrapText="1"/>
    </xf>
    <xf numFmtId="0" fontId="1" fillId="0" borderId="1" xfId="0" applyFont="1" applyBorder="1" applyAlignment="1" applyProtection="1">
      <alignment horizontal="center" vertical="center" wrapText="1" shrinkToFit="1"/>
      <protection locked="0"/>
    </xf>
    <xf numFmtId="0" fontId="13" fillId="5" borderId="30" xfId="0" applyFont="1" applyFill="1" applyBorder="1" applyAlignment="1">
      <alignment horizontal="left" vertical="center" readingOrder="1"/>
    </xf>
    <xf numFmtId="0" fontId="13" fillId="5" borderId="43" xfId="0" applyFont="1" applyFill="1" applyBorder="1" applyAlignment="1">
      <alignment horizontal="left" vertical="center" readingOrder="1"/>
    </xf>
    <xf numFmtId="44" fontId="0" fillId="0" borderId="30" xfId="3" applyFont="1" applyBorder="1"/>
    <xf numFmtId="169" fontId="13" fillId="5" borderId="0" xfId="0" applyNumberFormat="1" applyFont="1" applyFill="1" applyAlignment="1">
      <alignment horizontal="left" vertical="center" readingOrder="1"/>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7" xfId="1" applyFont="1" applyFill="1" applyBorder="1" applyAlignment="1" applyProtection="1">
      <alignment horizontal="center" vertical="center" wrapText="1"/>
      <protection locked="0"/>
    </xf>
    <xf numFmtId="0" fontId="6" fillId="6" borderId="8" xfId="1"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6" fillId="6" borderId="5" xfId="0" applyFont="1"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6" xfId="0" applyFont="1" applyBorder="1" applyAlignment="1">
      <alignment horizontal="center" wrapText="1"/>
    </xf>
    <xf numFmtId="0" fontId="1" fillId="0" borderId="0" xfId="0" applyFont="1" applyAlignment="1">
      <alignment horizontal="center" wrapText="1"/>
    </xf>
    <xf numFmtId="14" fontId="4" fillId="0" borderId="2" xfId="2" applyNumberFormat="1"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2" fillId="4" borderId="41"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51">
    <dxf>
      <fill>
        <patternFill>
          <bgColor theme="5" tint="0.3999450666829432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fill>
        <patternFill patternType="solid">
          <fgColor indexed="64"/>
          <bgColor theme="7" tint="-0.249977111117893"/>
        </patternFill>
      </fill>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17</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43</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71</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104775</xdr:rowOff>
    </xdr:from>
    <xdr:to>
      <xdr:col>0</xdr:col>
      <xdr:colOff>4924425</xdr:colOff>
      <xdr:row>31</xdr:row>
      <xdr:rowOff>53191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676650"/>
          <a:ext cx="4924425" cy="1729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6:U71" totalsRowCount="1" headerRowDxfId="50" dataDxfId="49" tableBorderDxfId="48">
  <tableColumns count="21">
    <tableColumn id="1" xr3:uid="{BA8FE7BE-E48F-46CA-9E39-6EB2F0A36458}" name="Approved Service Provided" dataDxfId="47" totalsRowDxfId="46"/>
    <tableColumn id="2" xr3:uid="{7E88F6D8-C30D-4D7A-A1A0-F8BFAE83DDF7}" name="Detailed Description of Service Provided" dataDxfId="45" totalsRowDxfId="44"/>
    <tableColumn id="23" xr3:uid="{C5B36539-9047-4262-AF55-BD97244858EE}" name="County of Service" dataDxfId="43" totalsRowDxfId="42"/>
    <tableColumn id="3" xr3:uid="{F0F0D0E9-6834-449A-9033-BF1CC8653E96}" name="Date of Service" dataDxfId="41" totalsRowDxfId="40"/>
    <tableColumn id="4" xr3:uid="{DF1ECEC7-8CE3-4F64-9F99-E6BF1CA89429}" name="Time In HH:MM AM/PM" dataDxfId="39" totalsRowDxfId="38"/>
    <tableColumn id="5" xr3:uid="{C532DEF7-2EAC-4C90-BE42-91F188E079AE}" name="Time Out HH:MM AM/PM" totalsRowLabel="Totals" dataDxfId="37" totalsRowDxfId="36"/>
    <tableColumn id="15" xr3:uid="{EEF7EEF9-114B-4574-AC6D-4B0E071C939D}" name="Waiver" dataDxfId="35" totalsRowDxfId="34">
      <calculatedColumnFormula>$D$3</calculatedColumnFormula>
    </tableColumn>
    <tableColumn id="14" xr3:uid="{FA1D3579-1B4D-4DBA-90ED-40DC39F34C5C}" name="Combined" dataDxfId="33" totalsRowDxfId="32">
      <calculatedColumnFormula>Table8[[#This Row],[Program Code]]&amp;Table8[[#This Row],[Approved Service Provided]]&amp;Table8[[#This Row],[County of Service]]</calculatedColumnFormula>
    </tableColumn>
    <tableColumn id="18" xr3:uid="{3A846646-07B1-43B8-A284-247113CAD8F3}" name="Program Code" dataDxfId="31" totalsRowDxfId="30">
      <calculatedColumnFormula>IF(Table8[[#This Row],[Waiver]]="State SLS", "8", IF(Table8[[#This Row],[Waiver]]="OBRA", "9", ""))</calculatedColumnFormula>
    </tableColumn>
    <tableColumn id="19" xr3:uid="{6479694E-4DFE-4F38-9446-DAE72C3A2ACF}" name="Formula2" dataDxfId="29" totalsRowDxfId="28">
      <calculatedColumnFormula>IFERROR(VLOOKUP(Table8[[#This Row],[Combined]],'Optimax Rates'!D:E,2,FALSE),"")</calculatedColumnFormula>
    </tableColumn>
    <tableColumn id="17" xr3:uid="{5E880EF0-ACF7-467A-8EC8-FE2A896B0E50}" name="Formula3" dataDxfId="27" totalsRowDxfId="26">
      <calculatedColumnFormula>TEXT(Table8[[#This Row],[Date of Service]],"m/dd/yyyy ")&amp;" "&amp;TEXT(Table8[[#This Row],[Time In HH:MM AM/PM]],"hh:mm")</calculatedColumnFormula>
    </tableColumn>
    <tableColumn id="21" xr3:uid="{0E681C94-C011-49A3-8247-94A547CB60BB}" name="Formula4" dataDxfId="25" totalsRowDxfId="24">
      <calculatedColumnFormula>TEXT(Table8[[#This Row],[Date of Service]],"m/dd/yyyy ")&amp;" "&amp;TEXT(Table8[[#This Row],[Time Out HH:MM AM/PM]],"hh:mm")</calculatedColumnFormula>
    </tableColumn>
    <tableColumn id="22" xr3:uid="{7CB0B380-24DA-4E1D-A892-CD68113666C1}" name="Overlap" dataDxfId="23" totalsRowDxfId="22">
      <calculatedColumnFormula array="1">SUMPRODUCT((Table8[[#This Row],[Formula3]]&lt;$L$7:$L$70)*(Table8[[#This Row],[Formula4]]&gt;=$K$7:$K$70))&gt;1</calculatedColumnFormula>
    </tableColumn>
    <tableColumn id="6" xr3:uid="{532B9C62-7D8D-4AB4-8F42-DFE031FD42AA}" name="Formula 1" dataDxfId="21" totalsRowDxfId="20"/>
    <tableColumn id="7" xr3:uid="{0D00B28A-B6BD-4385-8349-320ADE0A1E03}" name="Formula 2" dataDxfId="19" totalsRowDxfId="18"/>
    <tableColumn id="8" xr3:uid="{4B3D0B7F-08D2-43C8-8C85-9348BAD07F2C}" name="Hours" dataDxfId="17" totalsRowDxfId="16"/>
    <tableColumn id="9" xr3:uid="{3FB5F165-E797-4ACC-80EC-CF36AF97FAA0}" name="Minutes" dataDxfId="15" totalsRowDxfId="14"/>
    <tableColumn id="10" xr3:uid="{B7F0FAF4-7DBE-4521-BBAC-F6BCEE62D8AC}" name="Total Minutes" totalsRowFunction="sum" dataDxfId="13" totalsRowDxfId="12"/>
    <tableColumn id="11" xr3:uid="{E408B624-D95C-4777-BCDC-1DDD88FD4DE7}" name="Units" totalsRowFunction="sum" dataDxfId="11" totalsRowDxfId="10">
      <calculatedColumnFormula>IF(ISBLANK(Table8[[#This Row],[Approved Service Provided]]),"",IF(OR(Table8[[#This Row],[Formula2]]="DAYS",Table8[[#This Row],[Formula2]]="TRIP"),1,ROUNDDOWN((Table8[[#This Row],[Total Minutes]]+7)/15,0)))</calculatedColumnFormula>
    </tableColumn>
    <tableColumn id="12" xr3:uid="{922E7A77-C5C8-4100-A1C4-333777E2AEB1}" name="Rate" dataDxfId="9" totalsRowDxfId="8">
      <calculatedColumnFormula>IFERROR(VLOOKUP(Table8[[#This Row],[Combined]],'Optimax Rates'!D:G,4,FALSE),"")</calculatedColumnFormula>
    </tableColumn>
    <tableColumn id="13" xr3:uid="{256BC176-09C6-43A8-BBC9-E37651ACF1B3}" name="Total Amount" totalsRowFunction="sum" dataDxfId="7" totalsRowDxfId="6">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5">
  <autoFilter ref="A1:C19" xr:uid="{B3B84840-3426-437B-9B69-16C439E903B3}"/>
  <tableColumns count="3">
    <tableColumn id="1" xr3:uid="{DF3A9821-949B-4C9B-9984-EF1CA7BF9CE4}" name="Service" dataDxfId="4"/>
    <tableColumn id="2" xr3:uid="{B177573D-F22E-4424-8813-2135993A7384}" name="Definition" dataDxfId="3"/>
    <tableColumn id="3" xr3:uid="{EE4D2E27-7D2A-4226-A16C-B9A824C4FE44}" name="Additional Notes" dataDxfId="2"/>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1"/>
  <sheetViews>
    <sheetView showGridLines="0" tabSelected="1" zoomScaleNormal="100" zoomScaleSheetLayoutView="40" zoomScalePageLayoutView="50" workbookViewId="0">
      <selection activeCell="A12" sqref="A12"/>
    </sheetView>
  </sheetViews>
  <sheetFormatPr defaultColWidth="9.1796875" defaultRowHeight="13" x14ac:dyDescent="0.3"/>
  <cols>
    <col min="1" max="1" width="29.7265625" style="5" customWidth="1"/>
    <col min="2" max="2" width="60.453125" style="6" customWidth="1"/>
    <col min="3" max="3" width="19" style="7" customWidth="1"/>
    <col min="4" max="4" width="12" style="8" customWidth="1"/>
    <col min="5" max="5" width="12.81640625" style="8" customWidth="1"/>
    <col min="6" max="6" width="12.81640625" style="68" customWidth="1"/>
    <col min="7" max="7" width="12.81640625" style="8" hidden="1" customWidth="1"/>
    <col min="8" max="8" width="54.453125" style="8" hidden="1" customWidth="1"/>
    <col min="9" max="9" width="10.453125" style="8" hidden="1" customWidth="1"/>
    <col min="10" max="14" width="18.1796875" style="8" hidden="1" customWidth="1"/>
    <col min="15" max="16" width="12.26953125" style="55" hidden="1" customWidth="1"/>
    <col min="17" max="17" width="9.1796875" style="55" hidden="1" customWidth="1"/>
    <col min="18" max="18" width="10.1796875" style="55" hidden="1" customWidth="1"/>
    <col min="19" max="19" width="15.26953125" style="5" customWidth="1"/>
    <col min="20" max="20" width="10" style="5" customWidth="1"/>
    <col min="21" max="21" width="19.26953125" style="5" customWidth="1"/>
    <col min="22" max="25" width="11" style="5" customWidth="1"/>
    <col min="26" max="26" width="9.1796875" style="5" customWidth="1"/>
    <col min="27" max="27" width="9.1796875" style="5"/>
    <col min="28" max="28" width="11.26953125" style="5" customWidth="1"/>
    <col min="29" max="16384" width="9.1796875" style="5"/>
  </cols>
  <sheetData>
    <row r="1" spans="1:31" ht="13.5" thickBot="1" x14ac:dyDescent="0.35">
      <c r="A1" s="168" t="s">
        <v>158</v>
      </c>
      <c r="B1" s="169"/>
      <c r="C1" s="170"/>
      <c r="D1" s="169"/>
      <c r="E1" s="169"/>
      <c r="F1" s="169"/>
      <c r="G1" s="169"/>
      <c r="H1" s="169"/>
      <c r="I1" s="169"/>
      <c r="J1" s="169"/>
      <c r="K1" s="169"/>
      <c r="L1" s="169"/>
      <c r="M1" s="169"/>
      <c r="N1" s="169"/>
      <c r="O1" s="169"/>
      <c r="P1" s="169"/>
      <c r="Q1" s="169"/>
      <c r="R1" s="169"/>
      <c r="S1" s="169"/>
      <c r="T1" s="169"/>
      <c r="U1" s="169"/>
      <c r="V1" s="149"/>
      <c r="W1" s="149"/>
      <c r="X1" s="149"/>
      <c r="Y1" s="149"/>
    </row>
    <row r="2" spans="1:31" s="3" customFormat="1" ht="17.25" customHeight="1" x14ac:dyDescent="0.3">
      <c r="A2" s="12" t="s">
        <v>108</v>
      </c>
      <c r="B2" s="50"/>
      <c r="C2" s="5" t="s">
        <v>69</v>
      </c>
      <c r="D2" s="179"/>
      <c r="E2" s="179"/>
      <c r="F2" s="179"/>
      <c r="G2" s="179"/>
      <c r="H2" s="179"/>
      <c r="I2" s="179"/>
      <c r="J2" s="179"/>
      <c r="K2" s="179"/>
      <c r="L2" s="179"/>
      <c r="M2" s="179"/>
      <c r="N2" s="179"/>
      <c r="O2" s="179"/>
      <c r="P2" s="179"/>
      <c r="Q2" s="179"/>
      <c r="R2" s="179"/>
      <c r="S2" s="179"/>
      <c r="T2" s="180"/>
      <c r="U2" s="181" t="s">
        <v>107</v>
      </c>
      <c r="V2" s="150"/>
      <c r="W2" s="150"/>
      <c r="X2" s="150"/>
      <c r="Y2" s="150"/>
    </row>
    <row r="3" spans="1:31" s="3" customFormat="1" ht="12.75" customHeight="1" x14ac:dyDescent="0.3">
      <c r="A3" s="13" t="s">
        <v>0</v>
      </c>
      <c r="B3" s="51"/>
      <c r="C3" s="74" t="s">
        <v>68</v>
      </c>
      <c r="D3" s="176"/>
      <c r="E3" s="176"/>
      <c r="F3" s="176"/>
      <c r="G3" s="176"/>
      <c r="H3" s="176"/>
      <c r="I3" s="176"/>
      <c r="J3" s="176"/>
      <c r="K3" s="176"/>
      <c r="L3" s="176"/>
      <c r="M3" s="176"/>
      <c r="N3" s="176"/>
      <c r="O3" s="176"/>
      <c r="P3" s="176"/>
      <c r="Q3" s="176"/>
      <c r="R3" s="176"/>
      <c r="S3" s="176"/>
      <c r="T3" s="176"/>
      <c r="U3" s="182"/>
      <c r="V3" s="150"/>
      <c r="W3" s="150"/>
      <c r="X3" s="150"/>
      <c r="Y3" s="150"/>
      <c r="AB3" s="15"/>
    </row>
    <row r="4" spans="1:31" s="3" customFormat="1" ht="14.25" customHeight="1" x14ac:dyDescent="0.3">
      <c r="A4" s="14" t="s">
        <v>1</v>
      </c>
      <c r="B4" s="52"/>
      <c r="C4" s="5" t="s">
        <v>2</v>
      </c>
      <c r="D4" s="177"/>
      <c r="E4" s="177"/>
      <c r="F4" s="177"/>
      <c r="G4" s="177"/>
      <c r="H4" s="177"/>
      <c r="I4" s="177"/>
      <c r="J4" s="177"/>
      <c r="K4" s="177"/>
      <c r="L4" s="177"/>
      <c r="M4" s="177"/>
      <c r="N4" s="177"/>
      <c r="O4" s="177"/>
      <c r="P4" s="177"/>
      <c r="Q4" s="177"/>
      <c r="R4" s="177"/>
      <c r="S4" s="177"/>
      <c r="T4" s="178"/>
      <c r="U4" s="182"/>
      <c r="V4" s="150"/>
      <c r="W4" s="150"/>
      <c r="X4" s="150"/>
      <c r="Y4" s="150"/>
    </row>
    <row r="5" spans="1:31" s="3" customFormat="1" ht="9" customHeight="1" thickBot="1" x14ac:dyDescent="0.35">
      <c r="A5" s="53"/>
      <c r="B5" s="54"/>
      <c r="C5" s="9"/>
      <c r="D5" s="10"/>
      <c r="E5" s="10"/>
      <c r="F5" s="65"/>
      <c r="G5" s="10"/>
      <c r="H5" s="10"/>
      <c r="I5" s="10"/>
      <c r="J5" s="10"/>
      <c r="K5" s="10"/>
      <c r="L5" s="10"/>
      <c r="M5" s="10"/>
      <c r="N5" s="10"/>
      <c r="O5" s="11"/>
      <c r="P5" s="11"/>
      <c r="Q5" s="11"/>
      <c r="R5" s="11"/>
      <c r="S5" s="11"/>
      <c r="T5" s="11"/>
      <c r="U5" s="183"/>
      <c r="V5" s="150"/>
      <c r="W5" s="150"/>
      <c r="X5" s="150"/>
      <c r="Y5" s="150"/>
    </row>
    <row r="6" spans="1:31" s="18" customFormat="1" ht="40.5" customHeight="1" thickBot="1" x14ac:dyDescent="0.3">
      <c r="A6" s="75" t="s">
        <v>3</v>
      </c>
      <c r="B6" s="76" t="s">
        <v>4</v>
      </c>
      <c r="C6" s="76" t="s">
        <v>150</v>
      </c>
      <c r="D6" s="77" t="s">
        <v>5</v>
      </c>
      <c r="E6" s="78" t="s">
        <v>6</v>
      </c>
      <c r="F6" s="78" t="s">
        <v>7</v>
      </c>
      <c r="G6" s="82" t="s">
        <v>8</v>
      </c>
      <c r="H6" s="83" t="s">
        <v>9</v>
      </c>
      <c r="I6" s="83" t="s">
        <v>153</v>
      </c>
      <c r="J6" s="83" t="s">
        <v>10</v>
      </c>
      <c r="K6" s="83" t="s">
        <v>11</v>
      </c>
      <c r="L6" s="83" t="s">
        <v>12</v>
      </c>
      <c r="M6" s="83" t="s">
        <v>13</v>
      </c>
      <c r="N6" s="84" t="s">
        <v>14</v>
      </c>
      <c r="O6" s="84" t="s">
        <v>15</v>
      </c>
      <c r="P6" s="84" t="s">
        <v>16</v>
      </c>
      <c r="Q6" s="84" t="s">
        <v>17</v>
      </c>
      <c r="R6" s="85" t="s">
        <v>18</v>
      </c>
      <c r="S6" s="86" t="s">
        <v>19</v>
      </c>
      <c r="T6" s="87" t="s">
        <v>20</v>
      </c>
      <c r="U6" s="88" t="s">
        <v>21</v>
      </c>
      <c r="V6" s="151"/>
      <c r="W6" s="151"/>
      <c r="X6" s="151"/>
    </row>
    <row r="7" spans="1:31" s="30" customFormat="1" thickBot="1" x14ac:dyDescent="0.3">
      <c r="A7" s="56"/>
      <c r="B7" s="58"/>
      <c r="C7" s="154"/>
      <c r="D7" s="59"/>
      <c r="E7" s="60"/>
      <c r="F7" s="60"/>
      <c r="G7" s="89">
        <f t="shared" ref="G7:G38" si="0">$D$3</f>
        <v>0</v>
      </c>
      <c r="H7" t="str">
        <f>Table8[[#This Row],[Program Code]]&amp;Table8[[#This Row],[Approved Service Provided]]&amp;Table8[[#This Row],[County of Service]]</f>
        <v/>
      </c>
      <c r="I7" t="str">
        <f>IF(Table8[[#This Row],[Waiver]]="State SLS", "8", IF(Table8[[#This Row],[Waiver]]="OBRA", "9", ""))</f>
        <v/>
      </c>
      <c r="J7" t="str">
        <f>IFERROR(VLOOKUP(Table8[[#This Row],[Combined]],'Optimax Rates'!D:E,2,FALSE),"")</f>
        <v/>
      </c>
      <c r="K7" t="str">
        <f>TEXT(Table8[[#This Row],[Date of Service]],"m/dd/yyyy ")&amp;" "&amp;TEXT(Table8[[#This Row],[Time In HH:MM AM/PM]],"hh:mm")</f>
        <v>1/00/1900  00:00</v>
      </c>
      <c r="L7" t="str">
        <f>TEXT(Table8[[#This Row],[Date of Service]],"m/dd/yyyy ")&amp;" "&amp;TEXT(Table8[[#This Row],[Time Out HH:MM AM/PM]],"hh:mm")</f>
        <v>1/00/1900  00:00</v>
      </c>
      <c r="M7" t="b" cm="1">
        <f t="array" ref="M7">SUMPRODUCT((Table8[[#This Row],[Formula3]]&lt;$L$7:$L$70)*(Table8[[#This Row],[Formula4]]&gt;=$K$7:$K$70))&gt;1</f>
        <v>0</v>
      </c>
      <c r="N7" s="90">
        <f>Table8[[#This Row],[Time Out HH:MM AM/PM]]-Table8[[#This Row],[Time In HH:MM AM/PM]]</f>
        <v>0</v>
      </c>
      <c r="O7" s="91" t="str">
        <f>TEXT(Table8[[#This Row],[Formula 1]],"HH:MM")</f>
        <v>00:00</v>
      </c>
      <c r="P7" s="91" t="str">
        <f>LEFT(Table8[[#This Row],[Formula 2]],SEARCH(":",Table8[[#This Row],[Formula 2]])-1)</f>
        <v>00</v>
      </c>
      <c r="Q7" s="91" t="str">
        <f>RIGHT(Table8[[#This Row],[Formula 2]],SEARCH(":",Table8[[#This Row],[Formula 2]])-1)</f>
        <v>00</v>
      </c>
      <c r="R7" s="91">
        <f>Table8[[#This Row],[Hours]]*60+Table8[[#This Row],[Minutes]]</f>
        <v>0</v>
      </c>
      <c r="S7" s="92" t="str">
        <f>IF(ISBLANK(Table8[[#This Row],[Approved Service Provided]]),"",IF(OR(Table8[[#This Row],[Formula2]]="DAYS",Table8[[#This Row],[Formula2]]="TRIP"),1,ROUNDDOWN((Table8[[#This Row],[Total Minutes]]+7)/15,0)))</f>
        <v/>
      </c>
      <c r="T7" s="93" t="str">
        <f>IFERROR(VLOOKUP(Table8[[#This Row],[Combined]],'Optimax Rates'!D:G,4,FALSE),"")</f>
        <v/>
      </c>
      <c r="U7" s="93" t="str">
        <f>IF(Table8[[#This Row],[Rate]]="","",Table8[[#This Row],[Units]]*Table8[[#This Row],[Rate]])</f>
        <v/>
      </c>
      <c r="V7" s="152"/>
      <c r="W7" s="152"/>
      <c r="X7" s="152"/>
    </row>
    <row r="8" spans="1:31" s="30" customFormat="1" thickBot="1" x14ac:dyDescent="0.3">
      <c r="A8" s="19"/>
      <c r="B8" s="70"/>
      <c r="C8" s="70"/>
      <c r="D8" s="1"/>
      <c r="E8" s="2"/>
      <c r="F8" s="2"/>
      <c r="G8" s="94">
        <f t="shared" si="0"/>
        <v>0</v>
      </c>
      <c r="H8" t="str">
        <f>Table8[[#This Row],[Program Code]]&amp;Table8[[#This Row],[Approved Service Provided]]&amp;Table8[[#This Row],[County of Service]]</f>
        <v/>
      </c>
      <c r="I8" t="str">
        <f>IF(Table8[[#This Row],[Waiver]]="State SLS", "8", IF(Table8[[#This Row],[Waiver]]="OBRA", "9", ""))</f>
        <v/>
      </c>
      <c r="J8" t="str">
        <f>IFERROR(VLOOKUP(Table8[[#This Row],[Combined]],'Optimax Rates'!D:E,2,FALSE),"")</f>
        <v/>
      </c>
      <c r="K8" t="str">
        <f>TEXT(Table8[[#This Row],[Date of Service]],"m/dd/yyyy ")&amp;" "&amp;TEXT(Table8[[#This Row],[Time In HH:MM AM/PM]],"hh:mm")</f>
        <v>1/00/1900  00:00</v>
      </c>
      <c r="L8" t="str">
        <f>TEXT(Table8[[#This Row],[Date of Service]],"m/dd/yyyy ")&amp;" "&amp;TEXT(Table8[[#This Row],[Time Out HH:MM AM/PM]],"hh:mm")</f>
        <v>1/00/1900  00:00</v>
      </c>
      <c r="M8" t="b" cm="1">
        <f t="array" ref="M8">SUMPRODUCT((Table8[[#This Row],[Formula3]]&lt;$L$7:$L$70)*(Table8[[#This Row],[Formula4]]&gt;=$K$7:$K$70))&gt;1</f>
        <v>0</v>
      </c>
      <c r="N8" s="90">
        <f>Table8[[#This Row],[Time Out HH:MM AM/PM]]-Table8[[#This Row],[Time In HH:MM AM/PM]]</f>
        <v>0</v>
      </c>
      <c r="O8" s="91" t="str">
        <f>TEXT(Table8[[#This Row],[Formula 1]],"HH:MM")</f>
        <v>00:00</v>
      </c>
      <c r="P8" s="91" t="str">
        <f>LEFT(Table8[[#This Row],[Formula 2]],SEARCH(":",Table8[[#This Row],[Formula 2]])-1)</f>
        <v>00</v>
      </c>
      <c r="Q8" s="91" t="str">
        <f>RIGHT(Table8[[#This Row],[Formula 2]],SEARCH(":",Table8[[#This Row],[Formula 2]])-1)</f>
        <v>00</v>
      </c>
      <c r="R8" s="91">
        <f>Table8[[#This Row],[Hours]]*60+Table8[[#This Row],[Minutes]]</f>
        <v>0</v>
      </c>
      <c r="S8" s="92" t="str">
        <f>IF(ISBLANK(Table8[[#This Row],[Approved Service Provided]]),"",IF(OR(Table8[[#This Row],[Formula2]]="DAYS",Table8[[#This Row],[Formula2]]="TRIP"),1,ROUNDDOWN((Table8[[#This Row],[Total Minutes]]+7)/15,0)))</f>
        <v/>
      </c>
      <c r="T8" s="93" t="str">
        <f>IFERROR(VLOOKUP(Table8[[#This Row],[Combined]],'Optimax Rates'!D:G,4,FALSE),"")</f>
        <v/>
      </c>
      <c r="U8" s="93" t="str">
        <f>IF(Table8[[#This Row],[Rate]]="","",Table8[[#This Row],[Units]]*Table8[[#This Row],[Rate]])</f>
        <v/>
      </c>
      <c r="V8" s="152"/>
      <c r="W8" s="152"/>
      <c r="X8" s="152"/>
    </row>
    <row r="9" spans="1:31" s="4" customFormat="1" thickBot="1" x14ac:dyDescent="0.3">
      <c r="A9" s="19"/>
      <c r="B9" s="16"/>
      <c r="C9" s="70"/>
      <c r="D9" s="1"/>
      <c r="E9" s="2"/>
      <c r="F9" s="2"/>
      <c r="G9" s="94">
        <f t="shared" si="0"/>
        <v>0</v>
      </c>
      <c r="H9" t="str">
        <f>Table8[[#This Row],[Program Code]]&amp;Table8[[#This Row],[Approved Service Provided]]&amp;Table8[[#This Row],[County of Service]]</f>
        <v/>
      </c>
      <c r="I9" t="str">
        <f>IF(Table8[[#This Row],[Waiver]]="State SLS", "8", IF(Table8[[#This Row],[Waiver]]="OBRA", "9", ""))</f>
        <v/>
      </c>
      <c r="J9" t="str">
        <f>IFERROR(VLOOKUP(Table8[[#This Row],[Combined]],'Optimax Rates'!D:E,2,FALSE),"")</f>
        <v/>
      </c>
      <c r="K9" t="str">
        <f>TEXT(Table8[[#This Row],[Date of Service]],"m/dd/yyyy ")&amp;" "&amp;TEXT(Table8[[#This Row],[Time In HH:MM AM/PM]],"hh:mm")</f>
        <v>1/00/1900  00:00</v>
      </c>
      <c r="L9" t="str">
        <f>TEXT(Table8[[#This Row],[Date of Service]],"m/dd/yyyy ")&amp;" "&amp;TEXT(Table8[[#This Row],[Time Out HH:MM AM/PM]],"hh:mm")</f>
        <v>1/00/1900  00:00</v>
      </c>
      <c r="M9" t="b" cm="1">
        <f t="array" ref="M9">SUMPRODUCT((Table8[[#This Row],[Formula3]]&lt;$L$7:$L$70)*(Table8[[#This Row],[Formula4]]&gt;=$K$7:$K$70))&gt;1</f>
        <v>0</v>
      </c>
      <c r="N9" s="90">
        <f>Table8[[#This Row],[Time Out HH:MM AM/PM]]-Table8[[#This Row],[Time In HH:MM AM/PM]]</f>
        <v>0</v>
      </c>
      <c r="O9" s="91" t="str">
        <f>TEXT(Table8[[#This Row],[Formula 1]],"HH:MM")</f>
        <v>00:00</v>
      </c>
      <c r="P9" s="91" t="str">
        <f>LEFT(Table8[[#This Row],[Formula 2]],SEARCH(":",Table8[[#This Row],[Formula 2]])-1)</f>
        <v>00</v>
      </c>
      <c r="Q9" s="91" t="str">
        <f>RIGHT(Table8[[#This Row],[Formula 2]],SEARCH(":",Table8[[#This Row],[Formula 2]])-1)</f>
        <v>00</v>
      </c>
      <c r="R9" s="91">
        <f>Table8[[#This Row],[Hours]]*60+Table8[[#This Row],[Minutes]]</f>
        <v>0</v>
      </c>
      <c r="S9" s="92" t="str">
        <f>IF(ISBLANK(Table8[[#This Row],[Approved Service Provided]]),"",IF(OR(Table8[[#This Row],[Formula2]]="DAYS",Table8[[#This Row],[Formula2]]="TRIP"),1,ROUNDDOWN((Table8[[#This Row],[Total Minutes]]+7)/15,0)))</f>
        <v/>
      </c>
      <c r="T9" s="93" t="str">
        <f>IFERROR(VLOOKUP(Table8[[#This Row],[Combined]],'Optimax Rates'!D:G,4,FALSE),"")</f>
        <v/>
      </c>
      <c r="U9" s="93" t="str">
        <f>IF(Table8[[#This Row],[Rate]]="","",Table8[[#This Row],[Units]]*Table8[[#This Row],[Rate]])</f>
        <v/>
      </c>
      <c r="V9" s="152"/>
      <c r="W9" s="152"/>
      <c r="X9" s="152"/>
    </row>
    <row r="10" spans="1:31" s="4" customFormat="1" thickBot="1" x14ac:dyDescent="0.3">
      <c r="A10" s="19"/>
      <c r="B10" s="16"/>
      <c r="C10" s="70"/>
      <c r="D10" s="1"/>
      <c r="E10" s="2"/>
      <c r="F10" s="2"/>
      <c r="G10" s="94">
        <f t="shared" si="0"/>
        <v>0</v>
      </c>
      <c r="H10" t="str">
        <f>Table8[[#This Row],[Program Code]]&amp;Table8[[#This Row],[Approved Service Provided]]&amp;Table8[[#This Row],[County of Service]]</f>
        <v/>
      </c>
      <c r="I10" t="str">
        <f>IF(Table8[[#This Row],[Waiver]]="State SLS", "8", IF(Table8[[#This Row],[Waiver]]="OBRA", "9", ""))</f>
        <v/>
      </c>
      <c r="J10" t="str">
        <f>IFERROR(VLOOKUP(Table8[[#This Row],[Combined]],'Optimax Rates'!D:E,2,FALSE),"")</f>
        <v/>
      </c>
      <c r="K10" t="str">
        <f>TEXT(Table8[[#This Row],[Date of Service]],"m/dd/yyyy ")&amp;" "&amp;TEXT(Table8[[#This Row],[Time In HH:MM AM/PM]],"hh:mm")</f>
        <v>1/00/1900  00:00</v>
      </c>
      <c r="L10" t="str">
        <f>TEXT(Table8[[#This Row],[Date of Service]],"m/dd/yyyy ")&amp;" "&amp;TEXT(Table8[[#This Row],[Time Out HH:MM AM/PM]],"hh:mm")</f>
        <v>1/00/1900  00:00</v>
      </c>
      <c r="M10" t="b" cm="1">
        <f t="array" ref="M10">SUMPRODUCT((Table8[[#This Row],[Formula3]]&lt;$L$7:$L$70)*(Table8[[#This Row],[Formula4]]&gt;=$K$7:$K$70))&gt;1</f>
        <v>0</v>
      </c>
      <c r="N10" s="90">
        <f>Table8[[#This Row],[Time Out HH:MM AM/PM]]-Table8[[#This Row],[Time In HH:MM AM/PM]]</f>
        <v>0</v>
      </c>
      <c r="O10" s="91" t="str">
        <f>TEXT(Table8[[#This Row],[Formula 1]],"HH:MM")</f>
        <v>00:00</v>
      </c>
      <c r="P10" s="91" t="str">
        <f>LEFT(Table8[[#This Row],[Formula 2]],SEARCH(":",Table8[[#This Row],[Formula 2]])-1)</f>
        <v>00</v>
      </c>
      <c r="Q10" s="91" t="str">
        <f>RIGHT(Table8[[#This Row],[Formula 2]],SEARCH(":",Table8[[#This Row],[Formula 2]])-1)</f>
        <v>00</v>
      </c>
      <c r="R10" s="91">
        <f>Table8[[#This Row],[Hours]]*60+Table8[[#This Row],[Minutes]]</f>
        <v>0</v>
      </c>
      <c r="S10" s="92" t="str">
        <f>IF(ISBLANK(Table8[[#This Row],[Approved Service Provided]]),"",IF(OR(Table8[[#This Row],[Formula2]]="DAYS",Table8[[#This Row],[Formula2]]="TRIP"),1,ROUNDDOWN((Table8[[#This Row],[Total Minutes]]+7)/15,0)))</f>
        <v/>
      </c>
      <c r="T10" s="93" t="str">
        <f>IFERROR(VLOOKUP(Table8[[#This Row],[Combined]],'Optimax Rates'!D:G,4,FALSE),"")</f>
        <v/>
      </c>
      <c r="U10" s="93" t="str">
        <f>IF(Table8[[#This Row],[Rate]]="","",Table8[[#This Row],[Units]]*Table8[[#This Row],[Rate]])</f>
        <v/>
      </c>
      <c r="V10" s="152"/>
      <c r="W10" s="152"/>
      <c r="X10" s="152"/>
    </row>
    <row r="11" spans="1:31" s="4" customFormat="1" thickBot="1" x14ac:dyDescent="0.3">
      <c r="A11" s="19"/>
      <c r="B11" s="16"/>
      <c r="C11" s="70"/>
      <c r="D11" s="1"/>
      <c r="E11" s="2"/>
      <c r="F11" s="2"/>
      <c r="G11" s="94">
        <f t="shared" si="0"/>
        <v>0</v>
      </c>
      <c r="H11" t="str">
        <f>Table8[[#This Row],[Program Code]]&amp;Table8[[#This Row],[Approved Service Provided]]&amp;Table8[[#This Row],[County of Service]]</f>
        <v/>
      </c>
      <c r="I11" t="str">
        <f>IF(Table8[[#This Row],[Waiver]]="State SLS", "8", IF(Table8[[#This Row],[Waiver]]="OBRA", "9", ""))</f>
        <v/>
      </c>
      <c r="J11" t="str">
        <f>IFERROR(VLOOKUP(Table8[[#This Row],[Combined]],'Optimax Rates'!D:E,2,FALSE),"")</f>
        <v/>
      </c>
      <c r="K11" t="str">
        <f>TEXT(Table8[[#This Row],[Date of Service]],"m/dd/yyyy ")&amp;" "&amp;TEXT(Table8[[#This Row],[Time In HH:MM AM/PM]],"hh:mm")</f>
        <v>1/00/1900  00:00</v>
      </c>
      <c r="L11" t="str">
        <f>TEXT(Table8[[#This Row],[Date of Service]],"m/dd/yyyy ")&amp;" "&amp;TEXT(Table8[[#This Row],[Time Out HH:MM AM/PM]],"hh:mm")</f>
        <v>1/00/1900  00:00</v>
      </c>
      <c r="M11" t="b" cm="1">
        <f t="array" ref="M11">SUMPRODUCT((Table8[[#This Row],[Formula3]]&lt;$L$7:$L$70)*(Table8[[#This Row],[Formula4]]&gt;=$K$7:$K$70))&gt;1</f>
        <v>0</v>
      </c>
      <c r="N11" s="90">
        <f>Table8[[#This Row],[Time Out HH:MM AM/PM]]-Table8[[#This Row],[Time In HH:MM AM/PM]]</f>
        <v>0</v>
      </c>
      <c r="O11" s="91" t="str">
        <f>TEXT(Table8[[#This Row],[Formula 1]],"HH:MM")</f>
        <v>00:00</v>
      </c>
      <c r="P11" s="91" t="str">
        <f>LEFT(Table8[[#This Row],[Formula 2]],SEARCH(":",Table8[[#This Row],[Formula 2]])-1)</f>
        <v>00</v>
      </c>
      <c r="Q11" s="91" t="str">
        <f>RIGHT(Table8[[#This Row],[Formula 2]],SEARCH(":",Table8[[#This Row],[Formula 2]])-1)</f>
        <v>00</v>
      </c>
      <c r="R11" s="91">
        <f>Table8[[#This Row],[Hours]]*60+Table8[[#This Row],[Minutes]]</f>
        <v>0</v>
      </c>
      <c r="S11" s="92" t="str">
        <f>IF(ISBLANK(Table8[[#This Row],[Approved Service Provided]]),"",IF(OR(Table8[[#This Row],[Formula2]]="DAYS",Table8[[#This Row],[Formula2]]="TRIP"),1,ROUNDDOWN((Table8[[#This Row],[Total Minutes]]+7)/15,0)))</f>
        <v/>
      </c>
      <c r="T11" s="93" t="str">
        <f>IFERROR(VLOOKUP(Table8[[#This Row],[Combined]],'Optimax Rates'!D:G,4,FALSE),"")</f>
        <v/>
      </c>
      <c r="U11" s="93" t="str">
        <f>IF(Table8[[#This Row],[Rate]]="","",Table8[[#This Row],[Units]]*Table8[[#This Row],[Rate]])</f>
        <v/>
      </c>
      <c r="V11" s="152"/>
      <c r="W11" s="152"/>
      <c r="X11" s="152"/>
    </row>
    <row r="12" spans="1:31" s="4" customFormat="1" thickBot="1" x14ac:dyDescent="0.3">
      <c r="A12" s="19"/>
      <c r="B12" s="16"/>
      <c r="C12" s="70"/>
      <c r="D12" s="1"/>
      <c r="E12" s="2"/>
      <c r="F12" s="2"/>
      <c r="G12" s="94">
        <f t="shared" si="0"/>
        <v>0</v>
      </c>
      <c r="H12" t="str">
        <f>Table8[[#This Row],[Program Code]]&amp;Table8[[#This Row],[Approved Service Provided]]&amp;Table8[[#This Row],[County of Service]]</f>
        <v/>
      </c>
      <c r="I12" t="str">
        <f>IF(Table8[[#This Row],[Waiver]]="State SLS", "8", IF(Table8[[#This Row],[Waiver]]="OBRA", "9", ""))</f>
        <v/>
      </c>
      <c r="J12" t="str">
        <f>IFERROR(VLOOKUP(Table8[[#This Row],[Combined]],'Optimax Rates'!D:E,2,FALSE),"")</f>
        <v/>
      </c>
      <c r="K12" t="str">
        <f>TEXT(Table8[[#This Row],[Date of Service]],"m/dd/yyyy ")&amp;" "&amp;TEXT(Table8[[#This Row],[Time In HH:MM AM/PM]],"hh:mm")</f>
        <v>1/00/1900  00:00</v>
      </c>
      <c r="L12" t="str">
        <f>TEXT(Table8[[#This Row],[Date of Service]],"m/dd/yyyy ")&amp;" "&amp;TEXT(Table8[[#This Row],[Time Out HH:MM AM/PM]],"hh:mm")</f>
        <v>1/00/1900  00:00</v>
      </c>
      <c r="M12" t="b" cm="1">
        <f t="array" ref="M12">SUMPRODUCT((Table8[[#This Row],[Formula3]]&lt;$L$7:$L$70)*(Table8[[#This Row],[Formula4]]&gt;=$K$7:$K$70))&gt;1</f>
        <v>0</v>
      </c>
      <c r="N12" s="90">
        <f>Table8[[#This Row],[Time Out HH:MM AM/PM]]-Table8[[#This Row],[Time In HH:MM AM/PM]]</f>
        <v>0</v>
      </c>
      <c r="O12" s="91" t="str">
        <f>TEXT(Table8[[#This Row],[Formula 1]],"HH:MM")</f>
        <v>00:00</v>
      </c>
      <c r="P12" s="91" t="str">
        <f>LEFT(Table8[[#This Row],[Formula 2]],SEARCH(":",Table8[[#This Row],[Formula 2]])-1)</f>
        <v>00</v>
      </c>
      <c r="Q12" s="91" t="str">
        <f>RIGHT(Table8[[#This Row],[Formula 2]],SEARCH(":",Table8[[#This Row],[Formula 2]])-1)</f>
        <v>00</v>
      </c>
      <c r="R12" s="91">
        <f>Table8[[#This Row],[Hours]]*60+Table8[[#This Row],[Minutes]]</f>
        <v>0</v>
      </c>
      <c r="S12" s="92" t="str">
        <f>IF(ISBLANK(Table8[[#This Row],[Approved Service Provided]]),"",IF(OR(Table8[[#This Row],[Formula2]]="DAYS",Table8[[#This Row],[Formula2]]="TRIP"),1,ROUNDDOWN((Table8[[#This Row],[Total Minutes]]+7)/15,0)))</f>
        <v/>
      </c>
      <c r="T12" s="93" t="str">
        <f>IFERROR(VLOOKUP(Table8[[#This Row],[Combined]],'Optimax Rates'!D:G,4,FALSE),"")</f>
        <v/>
      </c>
      <c r="U12" s="93" t="str">
        <f>IF(Table8[[#This Row],[Rate]]="","",Table8[[#This Row],[Units]]*Table8[[#This Row],[Rate]])</f>
        <v/>
      </c>
      <c r="V12" s="152"/>
      <c r="W12" s="152"/>
      <c r="X12" s="152"/>
    </row>
    <row r="13" spans="1:31" s="4" customFormat="1" thickBot="1" x14ac:dyDescent="0.3">
      <c r="A13" s="19"/>
      <c r="B13" s="16"/>
      <c r="C13" s="70"/>
      <c r="D13" s="1"/>
      <c r="E13" s="2"/>
      <c r="F13" s="2"/>
      <c r="G13" s="94">
        <f t="shared" si="0"/>
        <v>0</v>
      </c>
      <c r="H13" t="str">
        <f>Table8[[#This Row],[Program Code]]&amp;Table8[[#This Row],[Approved Service Provided]]&amp;Table8[[#This Row],[County of Service]]</f>
        <v/>
      </c>
      <c r="I13" t="str">
        <f>IF(Table8[[#This Row],[Waiver]]="State SLS", "8", IF(Table8[[#This Row],[Waiver]]="OBRA", "9", ""))</f>
        <v/>
      </c>
      <c r="J13" t="str">
        <f>IFERROR(VLOOKUP(Table8[[#This Row],[Combined]],'Optimax Rates'!D:E,2,FALSE),"")</f>
        <v/>
      </c>
      <c r="K13" t="str">
        <f>TEXT(Table8[[#This Row],[Date of Service]],"m/dd/yyyy ")&amp;" "&amp;TEXT(Table8[[#This Row],[Time In HH:MM AM/PM]],"hh:mm")</f>
        <v>1/00/1900  00:00</v>
      </c>
      <c r="L13" t="str">
        <f>TEXT(Table8[[#This Row],[Date of Service]],"m/dd/yyyy ")&amp;" "&amp;TEXT(Table8[[#This Row],[Time Out HH:MM AM/PM]],"hh:mm")</f>
        <v>1/00/1900  00:00</v>
      </c>
      <c r="M13" t="b" cm="1">
        <f t="array" ref="M13">SUMPRODUCT((Table8[[#This Row],[Formula3]]&lt;$L$7:$L$70)*(Table8[[#This Row],[Formula4]]&gt;=$K$7:$K$70))&gt;1</f>
        <v>0</v>
      </c>
      <c r="N13" s="90">
        <f>Table8[[#This Row],[Time Out HH:MM AM/PM]]-Table8[[#This Row],[Time In HH:MM AM/PM]]</f>
        <v>0</v>
      </c>
      <c r="O13" s="91" t="str">
        <f>TEXT(Table8[[#This Row],[Formula 1]],"HH:MM")</f>
        <v>00:00</v>
      </c>
      <c r="P13" s="91" t="str">
        <f>LEFT(Table8[[#This Row],[Formula 2]],SEARCH(":",Table8[[#This Row],[Formula 2]])-1)</f>
        <v>00</v>
      </c>
      <c r="Q13" s="91" t="str">
        <f>RIGHT(Table8[[#This Row],[Formula 2]],SEARCH(":",Table8[[#This Row],[Formula 2]])-1)</f>
        <v>00</v>
      </c>
      <c r="R13" s="91">
        <f>Table8[[#This Row],[Hours]]*60+Table8[[#This Row],[Minutes]]</f>
        <v>0</v>
      </c>
      <c r="S13" s="92" t="str">
        <f>IF(ISBLANK(Table8[[#This Row],[Approved Service Provided]]),"",IF(OR(Table8[[#This Row],[Formula2]]="DAYS",Table8[[#This Row],[Formula2]]="TRIP"),1,ROUNDDOWN((Table8[[#This Row],[Total Minutes]]+7)/15,0)))</f>
        <v/>
      </c>
      <c r="T13" s="93" t="str">
        <f>IFERROR(VLOOKUP(Table8[[#This Row],[Combined]],'Optimax Rates'!D:G,4,FALSE),"")</f>
        <v/>
      </c>
      <c r="U13" s="93" t="str">
        <f>IF(Table8[[#This Row],[Rate]]="","",Table8[[#This Row],[Units]]*Table8[[#This Row],[Rate]])</f>
        <v/>
      </c>
      <c r="V13" s="152"/>
      <c r="W13" s="152"/>
      <c r="X13" s="152"/>
    </row>
    <row r="14" spans="1:31" s="4" customFormat="1" thickBot="1" x14ac:dyDescent="0.3">
      <c r="A14" s="19"/>
      <c r="B14" s="16"/>
      <c r="C14" s="70"/>
      <c r="D14" s="1"/>
      <c r="E14" s="2"/>
      <c r="F14" s="2"/>
      <c r="G14" s="94">
        <f t="shared" si="0"/>
        <v>0</v>
      </c>
      <c r="H14" t="str">
        <f>Table8[[#This Row],[Program Code]]&amp;Table8[[#This Row],[Approved Service Provided]]&amp;Table8[[#This Row],[County of Service]]</f>
        <v/>
      </c>
      <c r="I14" t="str">
        <f>IF(Table8[[#This Row],[Waiver]]="State SLS", "8", IF(Table8[[#This Row],[Waiver]]="OBRA", "9", ""))</f>
        <v/>
      </c>
      <c r="J14" t="str">
        <f>IFERROR(VLOOKUP(Table8[[#This Row],[Combined]],'Optimax Rates'!D:E,2,FALSE),"")</f>
        <v/>
      </c>
      <c r="K14" t="str">
        <f>TEXT(Table8[[#This Row],[Date of Service]],"m/dd/yyyy ")&amp;" "&amp;TEXT(Table8[[#This Row],[Time In HH:MM AM/PM]],"hh:mm")</f>
        <v>1/00/1900  00:00</v>
      </c>
      <c r="L14" t="str">
        <f>TEXT(Table8[[#This Row],[Date of Service]],"m/dd/yyyy ")&amp;" "&amp;TEXT(Table8[[#This Row],[Time Out HH:MM AM/PM]],"hh:mm")</f>
        <v>1/00/1900  00:00</v>
      </c>
      <c r="M14" t="b" cm="1">
        <f t="array" ref="M14">SUMPRODUCT((Table8[[#This Row],[Formula3]]&lt;$L$7:$L$70)*(Table8[[#This Row],[Formula4]]&gt;=$K$7:$K$70))&gt;1</f>
        <v>0</v>
      </c>
      <c r="N14" s="90">
        <f>Table8[[#This Row],[Time Out HH:MM AM/PM]]-Table8[[#This Row],[Time In HH:MM AM/PM]]</f>
        <v>0</v>
      </c>
      <c r="O14" s="91" t="str">
        <f>TEXT(Table8[[#This Row],[Formula 1]],"HH:MM")</f>
        <v>00:00</v>
      </c>
      <c r="P14" s="91" t="str">
        <f>LEFT(Table8[[#This Row],[Formula 2]],SEARCH(":",Table8[[#This Row],[Formula 2]])-1)</f>
        <v>00</v>
      </c>
      <c r="Q14" s="91" t="str">
        <f>RIGHT(Table8[[#This Row],[Formula 2]],SEARCH(":",Table8[[#This Row],[Formula 2]])-1)</f>
        <v>00</v>
      </c>
      <c r="R14" s="91">
        <f>Table8[[#This Row],[Hours]]*60+Table8[[#This Row],[Minutes]]</f>
        <v>0</v>
      </c>
      <c r="S14" s="92" t="str">
        <f>IF(ISBLANK(Table8[[#This Row],[Approved Service Provided]]),"",IF(OR(Table8[[#This Row],[Formula2]]="DAYS",Table8[[#This Row],[Formula2]]="TRIP"),1,ROUNDDOWN((Table8[[#This Row],[Total Minutes]]+7)/15,0)))</f>
        <v/>
      </c>
      <c r="T14" s="93" t="str">
        <f>IFERROR(VLOOKUP(Table8[[#This Row],[Combined]],'Optimax Rates'!D:G,4,FALSE),"")</f>
        <v/>
      </c>
      <c r="U14" s="93" t="str">
        <f>IF(Table8[[#This Row],[Rate]]="","",Table8[[#This Row],[Units]]*Table8[[#This Row],[Rate]])</f>
        <v/>
      </c>
      <c r="V14" s="152"/>
      <c r="W14" s="152"/>
      <c r="X14" s="152"/>
    </row>
    <row r="15" spans="1:31" s="4" customFormat="1" thickBot="1" x14ac:dyDescent="0.3">
      <c r="A15" s="19"/>
      <c r="B15" s="17"/>
      <c r="C15" s="159"/>
      <c r="D15" s="1"/>
      <c r="E15" s="2"/>
      <c r="F15" s="2"/>
      <c r="G15" s="94">
        <f t="shared" si="0"/>
        <v>0</v>
      </c>
      <c r="H15" t="str">
        <f>Table8[[#This Row],[Program Code]]&amp;Table8[[#This Row],[Approved Service Provided]]&amp;Table8[[#This Row],[County of Service]]</f>
        <v/>
      </c>
      <c r="I15" t="str">
        <f>IF(Table8[[#This Row],[Waiver]]="State SLS", "8", IF(Table8[[#This Row],[Waiver]]="OBRA", "9", ""))</f>
        <v/>
      </c>
      <c r="J15" t="str">
        <f>IFERROR(VLOOKUP(Table8[[#This Row],[Combined]],'Optimax Rates'!D:E,2,FALSE),"")</f>
        <v/>
      </c>
      <c r="K15" t="str">
        <f>TEXT(Table8[[#This Row],[Date of Service]],"m/dd/yyyy ")&amp;" "&amp;TEXT(Table8[[#This Row],[Time In HH:MM AM/PM]],"hh:mm")</f>
        <v>1/00/1900  00:00</v>
      </c>
      <c r="L15" t="str">
        <f>TEXT(Table8[[#This Row],[Date of Service]],"m/dd/yyyy ")&amp;" "&amp;TEXT(Table8[[#This Row],[Time Out HH:MM AM/PM]],"hh:mm")</f>
        <v>1/00/1900  00:00</v>
      </c>
      <c r="M15" t="b" cm="1">
        <f t="array" ref="M15">SUMPRODUCT((Table8[[#This Row],[Formula3]]&lt;$L$7:$L$70)*(Table8[[#This Row],[Formula4]]&gt;=$K$7:$K$70))&gt;1</f>
        <v>0</v>
      </c>
      <c r="N15" s="90">
        <f>Table8[[#This Row],[Time Out HH:MM AM/PM]]-Table8[[#This Row],[Time In HH:MM AM/PM]]</f>
        <v>0</v>
      </c>
      <c r="O15" s="91" t="str">
        <f>TEXT(Table8[[#This Row],[Formula 1]],"HH:MM")</f>
        <v>00:00</v>
      </c>
      <c r="P15" s="91" t="str">
        <f>LEFT(Table8[[#This Row],[Formula 2]],SEARCH(":",Table8[[#This Row],[Formula 2]])-1)</f>
        <v>00</v>
      </c>
      <c r="Q15" s="91" t="str">
        <f>RIGHT(Table8[[#This Row],[Formula 2]],SEARCH(":",Table8[[#This Row],[Formula 2]])-1)</f>
        <v>00</v>
      </c>
      <c r="R15" s="91">
        <f>Table8[[#This Row],[Hours]]*60+Table8[[#This Row],[Minutes]]</f>
        <v>0</v>
      </c>
      <c r="S15" s="92" t="str">
        <f>IF(ISBLANK(Table8[[#This Row],[Approved Service Provided]]),"",IF(OR(Table8[[#This Row],[Formula2]]="DAYS",Table8[[#This Row],[Formula2]]="TRIP"),1,ROUNDDOWN((Table8[[#This Row],[Total Minutes]]+7)/15,0)))</f>
        <v/>
      </c>
      <c r="T15" s="93" t="str">
        <f>IFERROR(VLOOKUP(Table8[[#This Row],[Combined]],'Optimax Rates'!D:G,4,FALSE),"")</f>
        <v/>
      </c>
      <c r="U15" s="93" t="str">
        <f>IF(Table8[[#This Row],[Rate]]="","",Table8[[#This Row],[Units]]*Table8[[#This Row],[Rate]])</f>
        <v/>
      </c>
      <c r="V15" s="152"/>
      <c r="W15" s="152"/>
      <c r="X15" s="152"/>
      <c r="AE15" s="3"/>
    </row>
    <row r="16" spans="1:31" s="4" customFormat="1" thickBot="1" x14ac:dyDescent="0.3">
      <c r="A16" s="19"/>
      <c r="B16" s="16"/>
      <c r="C16" s="70"/>
      <c r="D16" s="1"/>
      <c r="E16" s="2"/>
      <c r="F16" s="2"/>
      <c r="G16" s="94">
        <f t="shared" si="0"/>
        <v>0</v>
      </c>
      <c r="H16" t="str">
        <f>Table8[[#This Row],[Program Code]]&amp;Table8[[#This Row],[Approved Service Provided]]&amp;Table8[[#This Row],[County of Service]]</f>
        <v/>
      </c>
      <c r="I16" t="str">
        <f>IF(Table8[[#This Row],[Waiver]]="State SLS", "8", IF(Table8[[#This Row],[Waiver]]="OBRA", "9", ""))</f>
        <v/>
      </c>
      <c r="J16" t="str">
        <f>IFERROR(VLOOKUP(Table8[[#This Row],[Combined]],'Optimax Rates'!D:E,2,FALSE),"")</f>
        <v/>
      </c>
      <c r="K16" t="str">
        <f>TEXT(Table8[[#This Row],[Date of Service]],"m/dd/yyyy ")&amp;" "&amp;TEXT(Table8[[#This Row],[Time In HH:MM AM/PM]],"hh:mm")</f>
        <v>1/00/1900  00:00</v>
      </c>
      <c r="L16" t="str">
        <f>TEXT(Table8[[#This Row],[Date of Service]],"m/dd/yyyy ")&amp;" "&amp;TEXT(Table8[[#This Row],[Time Out HH:MM AM/PM]],"hh:mm")</f>
        <v>1/00/1900  00:00</v>
      </c>
      <c r="M16" t="b" cm="1">
        <f t="array" ref="M16">SUMPRODUCT((Table8[[#This Row],[Formula3]]&lt;$L$7:$L$70)*(Table8[[#This Row],[Formula4]]&gt;=$K$7:$K$70))&gt;1</f>
        <v>0</v>
      </c>
      <c r="N16" s="90">
        <f>Table8[[#This Row],[Time Out HH:MM AM/PM]]-Table8[[#This Row],[Time In HH:MM AM/PM]]</f>
        <v>0</v>
      </c>
      <c r="O16" s="91" t="str">
        <f>TEXT(Table8[[#This Row],[Formula 1]],"HH:MM")</f>
        <v>00:00</v>
      </c>
      <c r="P16" s="91" t="str">
        <f>LEFT(Table8[[#This Row],[Formula 2]],SEARCH(":",Table8[[#This Row],[Formula 2]])-1)</f>
        <v>00</v>
      </c>
      <c r="Q16" s="91" t="str">
        <f>RIGHT(Table8[[#This Row],[Formula 2]],SEARCH(":",Table8[[#This Row],[Formula 2]])-1)</f>
        <v>00</v>
      </c>
      <c r="R16" s="91">
        <f>Table8[[#This Row],[Hours]]*60+Table8[[#This Row],[Minutes]]</f>
        <v>0</v>
      </c>
      <c r="S16" s="92" t="str">
        <f>IF(ISBLANK(Table8[[#This Row],[Approved Service Provided]]),"",IF(OR(Table8[[#This Row],[Formula2]]="DAYS",Table8[[#This Row],[Formula2]]="TRIP"),1,ROUNDDOWN((Table8[[#This Row],[Total Minutes]]+7)/15,0)))</f>
        <v/>
      </c>
      <c r="T16" s="93" t="str">
        <f>IFERROR(VLOOKUP(Table8[[#This Row],[Combined]],'Optimax Rates'!D:G,4,FALSE),"")</f>
        <v/>
      </c>
      <c r="U16" s="93" t="str">
        <f>IF(Table8[[#This Row],[Rate]]="","",Table8[[#This Row],[Units]]*Table8[[#This Row],[Rate]])</f>
        <v/>
      </c>
      <c r="V16" s="152"/>
      <c r="W16" s="152"/>
      <c r="X16" s="152"/>
    </row>
    <row r="17" spans="1:24" s="4" customFormat="1" thickBot="1" x14ac:dyDescent="0.3">
      <c r="A17" s="19"/>
      <c r="B17" s="16"/>
      <c r="C17" s="70"/>
      <c r="D17" s="1"/>
      <c r="E17" s="2"/>
      <c r="F17" s="2"/>
      <c r="G17" s="94">
        <f t="shared" si="0"/>
        <v>0</v>
      </c>
      <c r="H17" t="str">
        <f>Table8[[#This Row],[Program Code]]&amp;Table8[[#This Row],[Approved Service Provided]]&amp;Table8[[#This Row],[County of Service]]</f>
        <v/>
      </c>
      <c r="I17" t="str">
        <f>IF(Table8[[#This Row],[Waiver]]="State SLS", "8", IF(Table8[[#This Row],[Waiver]]="OBRA", "9", ""))</f>
        <v/>
      </c>
      <c r="J17" t="str">
        <f>IFERROR(VLOOKUP(Table8[[#This Row],[Combined]],'Optimax Rates'!D:E,2,FALSE),"")</f>
        <v/>
      </c>
      <c r="K17" t="str">
        <f>TEXT(Table8[[#This Row],[Date of Service]],"m/dd/yyyy ")&amp;" "&amp;TEXT(Table8[[#This Row],[Time In HH:MM AM/PM]],"hh:mm")</f>
        <v>1/00/1900  00:00</v>
      </c>
      <c r="L17" t="str">
        <f>TEXT(Table8[[#This Row],[Date of Service]],"m/dd/yyyy ")&amp;" "&amp;TEXT(Table8[[#This Row],[Time Out HH:MM AM/PM]],"hh:mm")</f>
        <v>1/00/1900  00:00</v>
      </c>
      <c r="M17" t="b" cm="1">
        <f t="array" ref="M17">SUMPRODUCT((Table8[[#This Row],[Formula3]]&lt;$L$7:$L$70)*(Table8[[#This Row],[Formula4]]&gt;=$K$7:$K$70))&gt;1</f>
        <v>0</v>
      </c>
      <c r="N17" s="90">
        <f>Table8[[#This Row],[Time Out HH:MM AM/PM]]-Table8[[#This Row],[Time In HH:MM AM/PM]]</f>
        <v>0</v>
      </c>
      <c r="O17" s="91" t="str">
        <f>TEXT(Table8[[#This Row],[Formula 1]],"HH:MM")</f>
        <v>00:00</v>
      </c>
      <c r="P17" s="91" t="str">
        <f>LEFT(Table8[[#This Row],[Formula 2]],SEARCH(":",Table8[[#This Row],[Formula 2]])-1)</f>
        <v>00</v>
      </c>
      <c r="Q17" s="91" t="str">
        <f>RIGHT(Table8[[#This Row],[Formula 2]],SEARCH(":",Table8[[#This Row],[Formula 2]])-1)</f>
        <v>00</v>
      </c>
      <c r="R17" s="91">
        <f>Table8[[#This Row],[Hours]]*60+Table8[[#This Row],[Minutes]]</f>
        <v>0</v>
      </c>
      <c r="S17" s="92" t="str">
        <f>IF(ISBLANK(Table8[[#This Row],[Approved Service Provided]]),"",IF(OR(Table8[[#This Row],[Formula2]]="DAYS",Table8[[#This Row],[Formula2]]="TRIP"),1,ROUNDDOWN((Table8[[#This Row],[Total Minutes]]+7)/15,0)))</f>
        <v/>
      </c>
      <c r="T17" s="93" t="str">
        <f>IFERROR(VLOOKUP(Table8[[#This Row],[Combined]],'Optimax Rates'!D:G,4,FALSE),"")</f>
        <v/>
      </c>
      <c r="U17" s="93" t="str">
        <f>IF(Table8[[#This Row],[Rate]]="","",Table8[[#This Row],[Units]]*Table8[[#This Row],[Rate]])</f>
        <v/>
      </c>
      <c r="V17" s="152"/>
      <c r="W17" s="152"/>
      <c r="X17" s="152"/>
    </row>
    <row r="18" spans="1:24" s="4" customFormat="1" thickBot="1" x14ac:dyDescent="0.3">
      <c r="A18" s="19"/>
      <c r="B18" s="16"/>
      <c r="C18" s="70"/>
      <c r="D18" s="1"/>
      <c r="E18" s="2"/>
      <c r="F18" s="2"/>
      <c r="G18" s="94">
        <f t="shared" si="0"/>
        <v>0</v>
      </c>
      <c r="H18" t="str">
        <f>Table8[[#This Row],[Program Code]]&amp;Table8[[#This Row],[Approved Service Provided]]&amp;Table8[[#This Row],[County of Service]]</f>
        <v/>
      </c>
      <c r="I18" t="str">
        <f>IF(Table8[[#This Row],[Waiver]]="State SLS", "8", IF(Table8[[#This Row],[Waiver]]="OBRA", "9", ""))</f>
        <v/>
      </c>
      <c r="J18" t="str">
        <f>IFERROR(VLOOKUP(Table8[[#This Row],[Combined]],'Optimax Rates'!D:E,2,FALSE),"")</f>
        <v/>
      </c>
      <c r="K18" t="str">
        <f>TEXT(Table8[[#This Row],[Date of Service]],"m/dd/yyyy ")&amp;" "&amp;TEXT(Table8[[#This Row],[Time In HH:MM AM/PM]],"hh:mm")</f>
        <v>1/00/1900  00:00</v>
      </c>
      <c r="L18" t="str">
        <f>TEXT(Table8[[#This Row],[Date of Service]],"m/dd/yyyy ")&amp;" "&amp;TEXT(Table8[[#This Row],[Time Out HH:MM AM/PM]],"hh:mm")</f>
        <v>1/00/1900  00:00</v>
      </c>
      <c r="M18" t="b" cm="1">
        <f t="array" ref="M18">SUMPRODUCT((Table8[[#This Row],[Formula3]]&lt;$L$7:$L$70)*(Table8[[#This Row],[Formula4]]&gt;=$K$7:$K$70))&gt;1</f>
        <v>0</v>
      </c>
      <c r="N18" s="90">
        <f>Table8[[#This Row],[Time Out HH:MM AM/PM]]-Table8[[#This Row],[Time In HH:MM AM/PM]]</f>
        <v>0</v>
      </c>
      <c r="O18" s="91" t="str">
        <f>TEXT(Table8[[#This Row],[Formula 1]],"HH:MM")</f>
        <v>00:00</v>
      </c>
      <c r="P18" s="91" t="str">
        <f>LEFT(Table8[[#This Row],[Formula 2]],SEARCH(":",Table8[[#This Row],[Formula 2]])-1)</f>
        <v>00</v>
      </c>
      <c r="Q18" s="91" t="str">
        <f>RIGHT(Table8[[#This Row],[Formula 2]],SEARCH(":",Table8[[#This Row],[Formula 2]])-1)</f>
        <v>00</v>
      </c>
      <c r="R18" s="91">
        <f>Table8[[#This Row],[Hours]]*60+Table8[[#This Row],[Minutes]]</f>
        <v>0</v>
      </c>
      <c r="S18" s="92" t="str">
        <f>IF(ISBLANK(Table8[[#This Row],[Approved Service Provided]]),"",IF(OR(Table8[[#This Row],[Formula2]]="DAYS",Table8[[#This Row],[Formula2]]="TRIP"),1,ROUNDDOWN((Table8[[#This Row],[Total Minutes]]+7)/15,0)))</f>
        <v/>
      </c>
      <c r="T18" s="93" t="str">
        <f>IFERROR(VLOOKUP(Table8[[#This Row],[Combined]],'Optimax Rates'!D:G,4,FALSE),"")</f>
        <v/>
      </c>
      <c r="U18" s="93" t="str">
        <f>IF(Table8[[#This Row],[Rate]]="","",Table8[[#This Row],[Units]]*Table8[[#This Row],[Rate]])</f>
        <v/>
      </c>
      <c r="V18" s="152"/>
      <c r="W18" s="152"/>
      <c r="X18" s="152"/>
    </row>
    <row r="19" spans="1:24" s="4" customFormat="1" thickBot="1" x14ac:dyDescent="0.3">
      <c r="A19" s="69"/>
      <c r="B19" s="16"/>
      <c r="C19" s="70"/>
      <c r="D19" s="1"/>
      <c r="E19" s="2"/>
      <c r="F19" s="2"/>
      <c r="G19" s="94">
        <f t="shared" si="0"/>
        <v>0</v>
      </c>
      <c r="H19" t="str">
        <f>Table8[[#This Row],[Program Code]]&amp;Table8[[#This Row],[Approved Service Provided]]&amp;Table8[[#This Row],[County of Service]]</f>
        <v/>
      </c>
      <c r="I19" t="str">
        <f>IF(Table8[[#This Row],[Waiver]]="State SLS", "8", IF(Table8[[#This Row],[Waiver]]="OBRA", "9", ""))</f>
        <v/>
      </c>
      <c r="J19" t="str">
        <f>IFERROR(VLOOKUP(Table8[[#This Row],[Combined]],'Optimax Rates'!D:E,2,FALSE),"")</f>
        <v/>
      </c>
      <c r="K19" t="str">
        <f>TEXT(Table8[[#This Row],[Date of Service]],"m/dd/yyyy ")&amp;" "&amp;TEXT(Table8[[#This Row],[Time In HH:MM AM/PM]],"hh:mm")</f>
        <v>1/00/1900  00:00</v>
      </c>
      <c r="L19" t="str">
        <f>TEXT(Table8[[#This Row],[Date of Service]],"m/dd/yyyy ")&amp;" "&amp;TEXT(Table8[[#This Row],[Time Out HH:MM AM/PM]],"hh:mm")</f>
        <v>1/00/1900  00:00</v>
      </c>
      <c r="M19" t="b" cm="1">
        <f t="array" ref="M19">SUMPRODUCT((Table8[[#This Row],[Formula3]]&lt;$L$7:$L$70)*(Table8[[#This Row],[Formula4]]&gt;=$K$7:$K$70))&gt;1</f>
        <v>0</v>
      </c>
      <c r="N19" s="90">
        <f>Table8[[#This Row],[Time Out HH:MM AM/PM]]-Table8[[#This Row],[Time In HH:MM AM/PM]]</f>
        <v>0</v>
      </c>
      <c r="O19" s="91" t="str">
        <f>TEXT(Table8[[#This Row],[Formula 1]],"HH:MM")</f>
        <v>00:00</v>
      </c>
      <c r="P19" s="91" t="str">
        <f>LEFT(Table8[[#This Row],[Formula 2]],SEARCH(":",Table8[[#This Row],[Formula 2]])-1)</f>
        <v>00</v>
      </c>
      <c r="Q19" s="91" t="str">
        <f>RIGHT(Table8[[#This Row],[Formula 2]],SEARCH(":",Table8[[#This Row],[Formula 2]])-1)</f>
        <v>00</v>
      </c>
      <c r="R19" s="91">
        <f>Table8[[#This Row],[Hours]]*60+Table8[[#This Row],[Minutes]]</f>
        <v>0</v>
      </c>
      <c r="S19" s="92" t="str">
        <f>IF(ISBLANK(Table8[[#This Row],[Approved Service Provided]]),"",IF(OR(Table8[[#This Row],[Formula2]]="DAYS",Table8[[#This Row],[Formula2]]="TRIP"),1,ROUNDDOWN((Table8[[#This Row],[Total Minutes]]+7)/15,0)))</f>
        <v/>
      </c>
      <c r="T19" s="93" t="str">
        <f>IFERROR(VLOOKUP(Table8[[#This Row],[Combined]],'Optimax Rates'!D:G,4,FALSE),"")</f>
        <v/>
      </c>
      <c r="U19" s="93" t="str">
        <f>IF(Table8[[#This Row],[Rate]]="","",Table8[[#This Row],[Units]]*Table8[[#This Row],[Rate]])</f>
        <v/>
      </c>
      <c r="V19" s="152"/>
      <c r="W19" s="152"/>
      <c r="X19" s="152"/>
    </row>
    <row r="20" spans="1:24" s="4" customFormat="1" thickBot="1" x14ac:dyDescent="0.3">
      <c r="A20" s="19"/>
      <c r="B20" s="16"/>
      <c r="C20" s="70"/>
      <c r="D20" s="1"/>
      <c r="E20" s="2"/>
      <c r="F20" s="2"/>
      <c r="G20" s="94">
        <f t="shared" si="0"/>
        <v>0</v>
      </c>
      <c r="H20" t="str">
        <f>Table8[[#This Row],[Program Code]]&amp;Table8[[#This Row],[Approved Service Provided]]&amp;Table8[[#This Row],[County of Service]]</f>
        <v/>
      </c>
      <c r="I20" t="str">
        <f>IF(Table8[[#This Row],[Waiver]]="State SLS", "8", IF(Table8[[#This Row],[Waiver]]="OBRA", "9", ""))</f>
        <v/>
      </c>
      <c r="J20" t="str">
        <f>IFERROR(VLOOKUP(Table8[[#This Row],[Combined]],'Optimax Rates'!D:E,2,FALSE),"")</f>
        <v/>
      </c>
      <c r="K20" t="str">
        <f>TEXT(Table8[[#This Row],[Date of Service]],"m/dd/yyyy ")&amp;" "&amp;TEXT(Table8[[#This Row],[Time In HH:MM AM/PM]],"hh:mm")</f>
        <v>1/00/1900  00:00</v>
      </c>
      <c r="L20" t="str">
        <f>TEXT(Table8[[#This Row],[Date of Service]],"m/dd/yyyy ")&amp;" "&amp;TEXT(Table8[[#This Row],[Time Out HH:MM AM/PM]],"hh:mm")</f>
        <v>1/00/1900  00:00</v>
      </c>
      <c r="M20" t="b" cm="1">
        <f t="array" ref="M20">SUMPRODUCT((Table8[[#This Row],[Formula3]]&lt;$L$7:$L$70)*(Table8[[#This Row],[Formula4]]&gt;=$K$7:$K$70))&gt;1</f>
        <v>0</v>
      </c>
      <c r="N20" s="90">
        <f>Table8[[#This Row],[Time Out HH:MM AM/PM]]-Table8[[#This Row],[Time In HH:MM AM/PM]]</f>
        <v>0</v>
      </c>
      <c r="O20" s="91" t="str">
        <f>TEXT(Table8[[#This Row],[Formula 1]],"HH:MM")</f>
        <v>00:00</v>
      </c>
      <c r="P20" s="91" t="str">
        <f>LEFT(Table8[[#This Row],[Formula 2]],SEARCH(":",Table8[[#This Row],[Formula 2]])-1)</f>
        <v>00</v>
      </c>
      <c r="Q20" s="91" t="str">
        <f>RIGHT(Table8[[#This Row],[Formula 2]],SEARCH(":",Table8[[#This Row],[Formula 2]])-1)</f>
        <v>00</v>
      </c>
      <c r="R20" s="91">
        <f>Table8[[#This Row],[Hours]]*60+Table8[[#This Row],[Minutes]]</f>
        <v>0</v>
      </c>
      <c r="S20" s="92" t="str">
        <f>IF(ISBLANK(Table8[[#This Row],[Approved Service Provided]]),"",IF(OR(Table8[[#This Row],[Formula2]]="DAYS",Table8[[#This Row],[Formula2]]="TRIP"),1,ROUNDDOWN((Table8[[#This Row],[Total Minutes]]+7)/15,0)))</f>
        <v/>
      </c>
      <c r="T20" s="93" t="str">
        <f>IFERROR(VLOOKUP(Table8[[#This Row],[Combined]],'Optimax Rates'!D:G,4,FALSE),"")</f>
        <v/>
      </c>
      <c r="U20" s="93" t="str">
        <f>IF(Table8[[#This Row],[Rate]]="","",Table8[[#This Row],[Units]]*Table8[[#This Row],[Rate]])</f>
        <v/>
      </c>
      <c r="V20" s="152"/>
      <c r="W20" s="152"/>
      <c r="X20" s="152"/>
    </row>
    <row r="21" spans="1:24" s="4" customFormat="1" thickBot="1" x14ac:dyDescent="0.3">
      <c r="A21" s="19"/>
      <c r="B21" s="16"/>
      <c r="C21" s="70"/>
      <c r="D21" s="1"/>
      <c r="E21" s="2"/>
      <c r="F21" s="2"/>
      <c r="G21" s="94">
        <f t="shared" si="0"/>
        <v>0</v>
      </c>
      <c r="H21" t="str">
        <f>Table8[[#This Row],[Program Code]]&amp;Table8[[#This Row],[Approved Service Provided]]&amp;Table8[[#This Row],[County of Service]]</f>
        <v/>
      </c>
      <c r="I21" t="str">
        <f>IF(Table8[[#This Row],[Waiver]]="State SLS", "8", IF(Table8[[#This Row],[Waiver]]="OBRA", "9", ""))</f>
        <v/>
      </c>
      <c r="J21" t="str">
        <f>IFERROR(VLOOKUP(Table8[[#This Row],[Combined]],'Optimax Rates'!D:E,2,FALSE),"")</f>
        <v/>
      </c>
      <c r="K21" t="str">
        <f>TEXT(Table8[[#This Row],[Date of Service]],"m/dd/yyyy ")&amp;" "&amp;TEXT(Table8[[#This Row],[Time In HH:MM AM/PM]],"hh:mm")</f>
        <v>1/00/1900  00:00</v>
      </c>
      <c r="L21" t="str">
        <f>TEXT(Table8[[#This Row],[Date of Service]],"m/dd/yyyy ")&amp;" "&amp;TEXT(Table8[[#This Row],[Time Out HH:MM AM/PM]],"hh:mm")</f>
        <v>1/00/1900  00:00</v>
      </c>
      <c r="M21" t="b" cm="1">
        <f t="array" ref="M21">SUMPRODUCT((Table8[[#This Row],[Formula3]]&lt;$L$7:$L$70)*(Table8[[#This Row],[Formula4]]&gt;=$K$7:$K$70))&gt;1</f>
        <v>0</v>
      </c>
      <c r="N21" s="90">
        <f>Table8[[#This Row],[Time Out HH:MM AM/PM]]-Table8[[#This Row],[Time In HH:MM AM/PM]]</f>
        <v>0</v>
      </c>
      <c r="O21" s="91" t="str">
        <f>TEXT(Table8[[#This Row],[Formula 1]],"HH:MM")</f>
        <v>00:00</v>
      </c>
      <c r="P21" s="91" t="str">
        <f>LEFT(Table8[[#This Row],[Formula 2]],SEARCH(":",Table8[[#This Row],[Formula 2]])-1)</f>
        <v>00</v>
      </c>
      <c r="Q21" s="91" t="str">
        <f>RIGHT(Table8[[#This Row],[Formula 2]],SEARCH(":",Table8[[#This Row],[Formula 2]])-1)</f>
        <v>00</v>
      </c>
      <c r="R21" s="91">
        <f>Table8[[#This Row],[Hours]]*60+Table8[[#This Row],[Minutes]]</f>
        <v>0</v>
      </c>
      <c r="S21" s="92" t="str">
        <f>IF(ISBLANK(Table8[[#This Row],[Approved Service Provided]]),"",IF(OR(Table8[[#This Row],[Formula2]]="DAYS",Table8[[#This Row],[Formula2]]="TRIP"),1,ROUNDDOWN((Table8[[#This Row],[Total Minutes]]+7)/15,0)))</f>
        <v/>
      </c>
      <c r="T21" s="93" t="str">
        <f>IFERROR(VLOOKUP(Table8[[#This Row],[Combined]],'Optimax Rates'!D:G,4,FALSE),"")</f>
        <v/>
      </c>
      <c r="U21" s="93" t="str">
        <f>IF(Table8[[#This Row],[Rate]]="","",Table8[[#This Row],[Units]]*Table8[[#This Row],[Rate]])</f>
        <v/>
      </c>
      <c r="V21" s="152"/>
      <c r="W21" s="152"/>
      <c r="X21" s="152"/>
    </row>
    <row r="22" spans="1:24" s="4" customFormat="1" thickBot="1" x14ac:dyDescent="0.3">
      <c r="A22" s="69"/>
      <c r="B22" s="16"/>
      <c r="C22" s="70"/>
      <c r="D22" s="1"/>
      <c r="E22" s="2"/>
      <c r="F22" s="2"/>
      <c r="G22" s="157">
        <f>$D$3</f>
        <v>0</v>
      </c>
      <c r="H22" t="str">
        <f>Table8[[#This Row],[Program Code]]&amp;Table8[[#This Row],[Approved Service Provided]]&amp;Table8[[#This Row],[County of Service]]</f>
        <v/>
      </c>
      <c r="I22" t="str">
        <f>IF(Table8[[#This Row],[Waiver]]="State SLS", "8", IF(Table8[[#This Row],[Waiver]]="OBRA", "9", ""))</f>
        <v/>
      </c>
      <c r="J22" t="str">
        <f>IFERROR(VLOOKUP(Table8[[#This Row],[Combined]],'Optimax Rates'!D:E,2,FALSE),"")</f>
        <v/>
      </c>
      <c r="K22" t="str">
        <f>TEXT(Table8[[#This Row],[Date of Service]],"m/dd/yyyy ")&amp;" "&amp;TEXT(Table8[[#This Row],[Time In HH:MM AM/PM]],"hh:mm")</f>
        <v>1/00/1900  00:00</v>
      </c>
      <c r="L22" t="str">
        <f>TEXT(Table8[[#This Row],[Date of Service]],"m/dd/yyyy ")&amp;" "&amp;TEXT(Table8[[#This Row],[Time Out HH:MM AM/PM]],"hh:mm")</f>
        <v>1/00/1900  00:00</v>
      </c>
      <c r="M22" t="b" cm="1">
        <f t="array" ref="M22">SUMPRODUCT((Table8[[#This Row],[Formula3]]&lt;$L$7:$L$70)*(Table8[[#This Row],[Formula4]]&gt;=$K$7:$K$70))&gt;1</f>
        <v>0</v>
      </c>
      <c r="N22" s="90">
        <f>Table8[[#This Row],[Time Out HH:MM AM/PM]]-Table8[[#This Row],[Time In HH:MM AM/PM]]</f>
        <v>0</v>
      </c>
      <c r="O22" s="91" t="str">
        <f>TEXT(Table8[[#This Row],[Formula 1]],"HH:MM")</f>
        <v>00:00</v>
      </c>
      <c r="P22" s="91" t="str">
        <f>LEFT(Table8[[#This Row],[Formula 2]],SEARCH(":",Table8[[#This Row],[Formula 2]])-1)</f>
        <v>00</v>
      </c>
      <c r="Q22" s="91" t="str">
        <f>RIGHT(Table8[[#This Row],[Formula 2]],SEARCH(":",Table8[[#This Row],[Formula 2]])-1)</f>
        <v>00</v>
      </c>
      <c r="R22" s="91">
        <f>Table8[[#This Row],[Hours]]*60+Table8[[#This Row],[Minutes]]</f>
        <v>0</v>
      </c>
      <c r="S22" s="92" t="str">
        <f>IF(ISBLANK(Table8[[#This Row],[Approved Service Provided]]),"",IF(OR(Table8[[#This Row],[Formula2]]="DAYS",Table8[[#This Row],[Formula2]]="TRIP"),1,ROUNDDOWN((Table8[[#This Row],[Total Minutes]]+7)/15,0)))</f>
        <v/>
      </c>
      <c r="T22" s="93" t="str">
        <f>IFERROR(VLOOKUP(Table8[[#This Row],[Combined]],'Optimax Rates'!D:G,4,FALSE),"")</f>
        <v/>
      </c>
      <c r="U22" s="93" t="str">
        <f>IF(Table8[[#This Row],[Rate]]="","",Table8[[#This Row],[Units]]*Table8[[#This Row],[Rate]])</f>
        <v/>
      </c>
      <c r="V22" s="152"/>
      <c r="W22" s="152"/>
      <c r="X22" s="152"/>
    </row>
    <row r="23" spans="1:24" s="4" customFormat="1" thickBot="1" x14ac:dyDescent="0.3">
      <c r="A23" s="19"/>
      <c r="B23" s="16"/>
      <c r="C23" s="70"/>
      <c r="D23" s="1"/>
      <c r="E23" s="2"/>
      <c r="F23" s="2"/>
      <c r="G23" s="94">
        <f t="shared" si="0"/>
        <v>0</v>
      </c>
      <c r="H23" t="str">
        <f>Table8[[#This Row],[Program Code]]&amp;Table8[[#This Row],[Approved Service Provided]]&amp;Table8[[#This Row],[County of Service]]</f>
        <v/>
      </c>
      <c r="I23" t="str">
        <f>IF(Table8[[#This Row],[Waiver]]="State SLS", "8", IF(Table8[[#This Row],[Waiver]]="OBRA", "9", ""))</f>
        <v/>
      </c>
      <c r="J23" t="str">
        <f>IFERROR(VLOOKUP(Table8[[#This Row],[Combined]],'Optimax Rates'!D:E,2,FALSE),"")</f>
        <v/>
      </c>
      <c r="K23" t="str">
        <f>TEXT(Table8[[#This Row],[Date of Service]],"m/dd/yyyy ")&amp;" "&amp;TEXT(Table8[[#This Row],[Time In HH:MM AM/PM]],"hh:mm")</f>
        <v>1/00/1900  00:00</v>
      </c>
      <c r="L23" t="str">
        <f>TEXT(Table8[[#This Row],[Date of Service]],"m/dd/yyyy ")&amp;" "&amp;TEXT(Table8[[#This Row],[Time Out HH:MM AM/PM]],"hh:mm")</f>
        <v>1/00/1900  00:00</v>
      </c>
      <c r="M23" t="b" cm="1">
        <f t="array" ref="M23">SUMPRODUCT((Table8[[#This Row],[Formula3]]&lt;$L$7:$L$70)*(Table8[[#This Row],[Formula4]]&gt;=$K$7:$K$70))&gt;1</f>
        <v>0</v>
      </c>
      <c r="N23" s="90">
        <f>Table8[[#This Row],[Time Out HH:MM AM/PM]]-Table8[[#This Row],[Time In HH:MM AM/PM]]</f>
        <v>0</v>
      </c>
      <c r="O23" s="91" t="str">
        <f>TEXT(Table8[[#This Row],[Formula 1]],"HH:MM")</f>
        <v>00:00</v>
      </c>
      <c r="P23" s="91" t="str">
        <f>LEFT(Table8[[#This Row],[Formula 2]],SEARCH(":",Table8[[#This Row],[Formula 2]])-1)</f>
        <v>00</v>
      </c>
      <c r="Q23" s="91" t="str">
        <f>RIGHT(Table8[[#This Row],[Formula 2]],SEARCH(":",Table8[[#This Row],[Formula 2]])-1)</f>
        <v>00</v>
      </c>
      <c r="R23" s="91">
        <f>Table8[[#This Row],[Hours]]*60+Table8[[#This Row],[Minutes]]</f>
        <v>0</v>
      </c>
      <c r="S23" s="92" t="str">
        <f>IF(ISBLANK(Table8[[#This Row],[Approved Service Provided]]),"",IF(OR(Table8[[#This Row],[Formula2]]="DAYS",Table8[[#This Row],[Formula2]]="TRIP"),1,ROUNDDOWN((Table8[[#This Row],[Total Minutes]]+7)/15,0)))</f>
        <v/>
      </c>
      <c r="T23" s="93" t="str">
        <f>IFERROR(VLOOKUP(Table8[[#This Row],[Combined]],'Optimax Rates'!D:G,4,FALSE),"")</f>
        <v/>
      </c>
      <c r="U23" s="93" t="str">
        <f>IF(Table8[[#This Row],[Rate]]="","",Table8[[#This Row],[Units]]*Table8[[#This Row],[Rate]])</f>
        <v/>
      </c>
      <c r="V23" s="152"/>
      <c r="W23" s="152"/>
      <c r="X23" s="152"/>
    </row>
    <row r="24" spans="1:24" s="4" customFormat="1" thickBot="1" x14ac:dyDescent="0.3">
      <c r="A24" s="19"/>
      <c r="B24" s="16"/>
      <c r="C24" s="70"/>
      <c r="D24" s="1"/>
      <c r="E24" s="2"/>
      <c r="F24" s="2"/>
      <c r="G24" s="94">
        <f t="shared" si="0"/>
        <v>0</v>
      </c>
      <c r="H24" t="str">
        <f>Table8[[#This Row],[Program Code]]&amp;Table8[[#This Row],[Approved Service Provided]]&amp;Table8[[#This Row],[County of Service]]</f>
        <v/>
      </c>
      <c r="I24" t="str">
        <f>IF(Table8[[#This Row],[Waiver]]="State SLS", "8", IF(Table8[[#This Row],[Waiver]]="OBRA", "9", ""))</f>
        <v/>
      </c>
      <c r="J24" t="str">
        <f>IFERROR(VLOOKUP(Table8[[#This Row],[Combined]],'Optimax Rates'!D:E,2,FALSE),"")</f>
        <v/>
      </c>
      <c r="K24" t="str">
        <f>TEXT(Table8[[#This Row],[Date of Service]],"m/dd/yyyy ")&amp;" "&amp;TEXT(Table8[[#This Row],[Time In HH:MM AM/PM]],"hh:mm")</f>
        <v>1/00/1900  00:00</v>
      </c>
      <c r="L24" t="str">
        <f>TEXT(Table8[[#This Row],[Date of Service]],"m/dd/yyyy ")&amp;" "&amp;TEXT(Table8[[#This Row],[Time Out HH:MM AM/PM]],"hh:mm")</f>
        <v>1/00/1900  00:00</v>
      </c>
      <c r="M24" t="b" cm="1">
        <f t="array" ref="M24">SUMPRODUCT((Table8[[#This Row],[Formula3]]&lt;$L$7:$L$70)*(Table8[[#This Row],[Formula4]]&gt;=$K$7:$K$70))&gt;1</f>
        <v>0</v>
      </c>
      <c r="N24" s="90">
        <f>Table8[[#This Row],[Time Out HH:MM AM/PM]]-Table8[[#This Row],[Time In HH:MM AM/PM]]</f>
        <v>0</v>
      </c>
      <c r="O24" s="91" t="str">
        <f>TEXT(Table8[[#This Row],[Formula 1]],"HH:MM")</f>
        <v>00:00</v>
      </c>
      <c r="P24" s="91" t="str">
        <f>LEFT(Table8[[#This Row],[Formula 2]],SEARCH(":",Table8[[#This Row],[Formula 2]])-1)</f>
        <v>00</v>
      </c>
      <c r="Q24" s="91" t="str">
        <f>RIGHT(Table8[[#This Row],[Formula 2]],SEARCH(":",Table8[[#This Row],[Formula 2]])-1)</f>
        <v>00</v>
      </c>
      <c r="R24" s="91">
        <f>Table8[[#This Row],[Hours]]*60+Table8[[#This Row],[Minutes]]</f>
        <v>0</v>
      </c>
      <c r="S24" s="92" t="str">
        <f>IF(ISBLANK(Table8[[#This Row],[Approved Service Provided]]),"",IF(OR(Table8[[#This Row],[Formula2]]="DAYS",Table8[[#This Row],[Formula2]]="TRIP"),1,ROUNDDOWN((Table8[[#This Row],[Total Minutes]]+7)/15,0)))</f>
        <v/>
      </c>
      <c r="T24" s="93" t="str">
        <f>IFERROR(VLOOKUP(Table8[[#This Row],[Combined]],'Optimax Rates'!D:G,4,FALSE),"")</f>
        <v/>
      </c>
      <c r="U24" s="93" t="str">
        <f>IF(Table8[[#This Row],[Rate]]="","",Table8[[#This Row],[Units]]*Table8[[#This Row],[Rate]])</f>
        <v/>
      </c>
      <c r="V24" s="152"/>
      <c r="W24" s="152"/>
      <c r="X24" s="152"/>
    </row>
    <row r="25" spans="1:24" s="4" customFormat="1" thickBot="1" x14ac:dyDescent="0.3">
      <c r="A25" s="19"/>
      <c r="B25" s="16"/>
      <c r="C25" s="70"/>
      <c r="D25" s="1"/>
      <c r="E25" s="2"/>
      <c r="F25" s="2"/>
      <c r="G25" s="94">
        <f t="shared" si="0"/>
        <v>0</v>
      </c>
      <c r="H25" t="str">
        <f>Table8[[#This Row],[Program Code]]&amp;Table8[[#This Row],[Approved Service Provided]]&amp;Table8[[#This Row],[County of Service]]</f>
        <v/>
      </c>
      <c r="I25" t="str">
        <f>IF(Table8[[#This Row],[Waiver]]="State SLS", "8", IF(Table8[[#This Row],[Waiver]]="OBRA", "9", ""))</f>
        <v/>
      </c>
      <c r="J25" t="str">
        <f>IFERROR(VLOOKUP(Table8[[#This Row],[Combined]],'Optimax Rates'!D:E,2,FALSE),"")</f>
        <v/>
      </c>
      <c r="K25" t="str">
        <f>TEXT(Table8[[#This Row],[Date of Service]],"m/dd/yyyy ")&amp;" "&amp;TEXT(Table8[[#This Row],[Time In HH:MM AM/PM]],"hh:mm")</f>
        <v>1/00/1900  00:00</v>
      </c>
      <c r="L25" t="str">
        <f>TEXT(Table8[[#This Row],[Date of Service]],"m/dd/yyyy ")&amp;" "&amp;TEXT(Table8[[#This Row],[Time Out HH:MM AM/PM]],"hh:mm")</f>
        <v>1/00/1900  00:00</v>
      </c>
      <c r="M25" t="b" cm="1">
        <f t="array" ref="M25">SUMPRODUCT((Table8[[#This Row],[Formula3]]&lt;$L$7:$L$70)*(Table8[[#This Row],[Formula4]]&gt;=$K$7:$K$70))&gt;1</f>
        <v>0</v>
      </c>
      <c r="N25" s="90">
        <f>Table8[[#This Row],[Time Out HH:MM AM/PM]]-Table8[[#This Row],[Time In HH:MM AM/PM]]</f>
        <v>0</v>
      </c>
      <c r="O25" s="91" t="str">
        <f>TEXT(Table8[[#This Row],[Formula 1]],"HH:MM")</f>
        <v>00:00</v>
      </c>
      <c r="P25" s="91" t="str">
        <f>LEFT(Table8[[#This Row],[Formula 2]],SEARCH(":",Table8[[#This Row],[Formula 2]])-1)</f>
        <v>00</v>
      </c>
      <c r="Q25" s="91" t="str">
        <f>RIGHT(Table8[[#This Row],[Formula 2]],SEARCH(":",Table8[[#This Row],[Formula 2]])-1)</f>
        <v>00</v>
      </c>
      <c r="R25" s="91">
        <f>Table8[[#This Row],[Hours]]*60+Table8[[#This Row],[Minutes]]</f>
        <v>0</v>
      </c>
      <c r="S25" s="92" t="str">
        <f>IF(ISBLANK(Table8[[#This Row],[Approved Service Provided]]),"",IF(OR(Table8[[#This Row],[Formula2]]="DAYS",Table8[[#This Row],[Formula2]]="TRIP"),1,ROUNDDOWN((Table8[[#This Row],[Total Minutes]]+7)/15,0)))</f>
        <v/>
      </c>
      <c r="T25" s="93" t="str">
        <f>IFERROR(VLOOKUP(Table8[[#This Row],[Combined]],'Optimax Rates'!D:G,4,FALSE),"")</f>
        <v/>
      </c>
      <c r="U25" s="93" t="str">
        <f>IF(Table8[[#This Row],[Rate]]="","",Table8[[#This Row],[Units]]*Table8[[#This Row],[Rate]])</f>
        <v/>
      </c>
      <c r="V25" s="152"/>
      <c r="W25" s="152"/>
      <c r="X25" s="152"/>
    </row>
    <row r="26" spans="1:24" s="4" customFormat="1" thickBot="1" x14ac:dyDescent="0.3">
      <c r="A26" s="19"/>
      <c r="B26" s="16"/>
      <c r="C26" s="70"/>
      <c r="D26" s="1"/>
      <c r="E26" s="2"/>
      <c r="F26" s="2"/>
      <c r="G26" s="94">
        <f t="shared" si="0"/>
        <v>0</v>
      </c>
      <c r="H26" t="str">
        <f>Table8[[#This Row],[Program Code]]&amp;Table8[[#This Row],[Approved Service Provided]]&amp;Table8[[#This Row],[County of Service]]</f>
        <v/>
      </c>
      <c r="I26" t="str">
        <f>IF(Table8[[#This Row],[Waiver]]="State SLS", "8", IF(Table8[[#This Row],[Waiver]]="OBRA", "9", ""))</f>
        <v/>
      </c>
      <c r="J26" t="str">
        <f>IFERROR(VLOOKUP(Table8[[#This Row],[Combined]],'Optimax Rates'!D:E,2,FALSE),"")</f>
        <v/>
      </c>
      <c r="K26" t="str">
        <f>TEXT(Table8[[#This Row],[Date of Service]],"m/dd/yyyy ")&amp;" "&amp;TEXT(Table8[[#This Row],[Time In HH:MM AM/PM]],"hh:mm")</f>
        <v>1/00/1900  00:00</v>
      </c>
      <c r="L26" t="str">
        <f>TEXT(Table8[[#This Row],[Date of Service]],"m/dd/yyyy ")&amp;" "&amp;TEXT(Table8[[#This Row],[Time Out HH:MM AM/PM]],"hh:mm")</f>
        <v>1/00/1900  00:00</v>
      </c>
      <c r="M26" t="b" cm="1">
        <f t="array" ref="M26">SUMPRODUCT((Table8[[#This Row],[Formula3]]&lt;$L$7:$L$70)*(Table8[[#This Row],[Formula4]]&gt;=$K$7:$K$70))&gt;1</f>
        <v>0</v>
      </c>
      <c r="N26" s="90">
        <f>Table8[[#This Row],[Time Out HH:MM AM/PM]]-Table8[[#This Row],[Time In HH:MM AM/PM]]</f>
        <v>0</v>
      </c>
      <c r="O26" s="91" t="str">
        <f>TEXT(Table8[[#This Row],[Formula 1]],"HH:MM")</f>
        <v>00:00</v>
      </c>
      <c r="P26" s="91" t="str">
        <f>LEFT(Table8[[#This Row],[Formula 2]],SEARCH(":",Table8[[#This Row],[Formula 2]])-1)</f>
        <v>00</v>
      </c>
      <c r="Q26" s="91" t="str">
        <f>RIGHT(Table8[[#This Row],[Formula 2]],SEARCH(":",Table8[[#This Row],[Formula 2]])-1)</f>
        <v>00</v>
      </c>
      <c r="R26" s="91">
        <f>Table8[[#This Row],[Hours]]*60+Table8[[#This Row],[Minutes]]</f>
        <v>0</v>
      </c>
      <c r="S26" s="92" t="str">
        <f>IF(ISBLANK(Table8[[#This Row],[Approved Service Provided]]),"",IF(OR(Table8[[#This Row],[Formula2]]="DAYS",Table8[[#This Row],[Formula2]]="TRIP"),1,ROUNDDOWN((Table8[[#This Row],[Total Minutes]]+7)/15,0)))</f>
        <v/>
      </c>
      <c r="T26" s="93" t="str">
        <f>IFERROR(VLOOKUP(Table8[[#This Row],[Combined]],'Optimax Rates'!D:G,4,FALSE),"")</f>
        <v/>
      </c>
      <c r="U26" s="93" t="str">
        <f>IF(Table8[[#This Row],[Rate]]="","",Table8[[#This Row],[Units]]*Table8[[#This Row],[Rate]])</f>
        <v/>
      </c>
      <c r="V26" s="152"/>
      <c r="W26" s="152"/>
      <c r="X26" s="152"/>
    </row>
    <row r="27" spans="1:24" s="4" customFormat="1" thickBot="1" x14ac:dyDescent="0.3">
      <c r="A27" s="19"/>
      <c r="B27" s="16"/>
      <c r="C27" s="70"/>
      <c r="D27" s="1"/>
      <c r="E27" s="2"/>
      <c r="F27" s="2"/>
      <c r="G27" s="94">
        <f t="shared" si="0"/>
        <v>0</v>
      </c>
      <c r="H27" t="str">
        <f>Table8[[#This Row],[Program Code]]&amp;Table8[[#This Row],[Approved Service Provided]]&amp;Table8[[#This Row],[County of Service]]</f>
        <v/>
      </c>
      <c r="I27" t="str">
        <f>IF(Table8[[#This Row],[Waiver]]="State SLS", "8", IF(Table8[[#This Row],[Waiver]]="OBRA", "9", ""))</f>
        <v/>
      </c>
      <c r="J27" t="str">
        <f>IFERROR(VLOOKUP(Table8[[#This Row],[Combined]],'Optimax Rates'!D:E,2,FALSE),"")</f>
        <v/>
      </c>
      <c r="K27" t="str">
        <f>TEXT(Table8[[#This Row],[Date of Service]],"m/dd/yyyy ")&amp;" "&amp;TEXT(Table8[[#This Row],[Time In HH:MM AM/PM]],"hh:mm")</f>
        <v>1/00/1900  00:00</v>
      </c>
      <c r="L27" t="str">
        <f>TEXT(Table8[[#This Row],[Date of Service]],"m/dd/yyyy ")&amp;" "&amp;TEXT(Table8[[#This Row],[Time Out HH:MM AM/PM]],"hh:mm")</f>
        <v>1/00/1900  00:00</v>
      </c>
      <c r="M27" t="b" cm="1">
        <f t="array" ref="M27">SUMPRODUCT((Table8[[#This Row],[Formula3]]&lt;$L$7:$L$70)*(Table8[[#This Row],[Formula4]]&gt;=$K$7:$K$70))&gt;1</f>
        <v>0</v>
      </c>
      <c r="N27" s="90">
        <f>Table8[[#This Row],[Time Out HH:MM AM/PM]]-Table8[[#This Row],[Time In HH:MM AM/PM]]</f>
        <v>0</v>
      </c>
      <c r="O27" s="91" t="str">
        <f>TEXT(Table8[[#This Row],[Formula 1]],"HH:MM")</f>
        <v>00:00</v>
      </c>
      <c r="P27" s="91" t="str">
        <f>LEFT(Table8[[#This Row],[Formula 2]],SEARCH(":",Table8[[#This Row],[Formula 2]])-1)</f>
        <v>00</v>
      </c>
      <c r="Q27" s="91" t="str">
        <f>RIGHT(Table8[[#This Row],[Formula 2]],SEARCH(":",Table8[[#This Row],[Formula 2]])-1)</f>
        <v>00</v>
      </c>
      <c r="R27" s="91">
        <f>Table8[[#This Row],[Hours]]*60+Table8[[#This Row],[Minutes]]</f>
        <v>0</v>
      </c>
      <c r="S27" s="92" t="str">
        <f>IF(ISBLANK(Table8[[#This Row],[Approved Service Provided]]),"",IF(OR(Table8[[#This Row],[Formula2]]="DAYS",Table8[[#This Row],[Formula2]]="TRIP"),1,ROUNDDOWN((Table8[[#This Row],[Total Minutes]]+7)/15,0)))</f>
        <v/>
      </c>
      <c r="T27" s="93" t="str">
        <f>IFERROR(VLOOKUP(Table8[[#This Row],[Combined]],'Optimax Rates'!D:G,4,FALSE),"")</f>
        <v/>
      </c>
      <c r="U27" s="93" t="str">
        <f>IF(Table8[[#This Row],[Rate]]="","",Table8[[#This Row],[Units]]*Table8[[#This Row],[Rate]])</f>
        <v/>
      </c>
      <c r="V27" s="152"/>
      <c r="W27" s="152"/>
      <c r="X27" s="152"/>
    </row>
    <row r="28" spans="1:24" s="4" customFormat="1" thickBot="1" x14ac:dyDescent="0.3">
      <c r="A28" s="19"/>
      <c r="B28" s="16"/>
      <c r="C28" s="70"/>
      <c r="D28" s="1"/>
      <c r="E28" s="2"/>
      <c r="F28" s="2"/>
      <c r="G28" s="94">
        <f t="shared" si="0"/>
        <v>0</v>
      </c>
      <c r="H28" t="str">
        <f>Table8[[#This Row],[Program Code]]&amp;Table8[[#This Row],[Approved Service Provided]]&amp;Table8[[#This Row],[County of Service]]</f>
        <v/>
      </c>
      <c r="I28" t="str">
        <f>IF(Table8[[#This Row],[Waiver]]="State SLS", "8", IF(Table8[[#This Row],[Waiver]]="OBRA", "9", ""))</f>
        <v/>
      </c>
      <c r="J28" t="str">
        <f>IFERROR(VLOOKUP(Table8[[#This Row],[Combined]],'Optimax Rates'!D:E,2,FALSE),"")</f>
        <v/>
      </c>
      <c r="K28" t="str">
        <f>TEXT(Table8[[#This Row],[Date of Service]],"m/dd/yyyy ")&amp;" "&amp;TEXT(Table8[[#This Row],[Time In HH:MM AM/PM]],"hh:mm")</f>
        <v>1/00/1900  00:00</v>
      </c>
      <c r="L28" t="str">
        <f>TEXT(Table8[[#This Row],[Date of Service]],"m/dd/yyyy ")&amp;" "&amp;TEXT(Table8[[#This Row],[Time Out HH:MM AM/PM]],"hh:mm")</f>
        <v>1/00/1900  00:00</v>
      </c>
      <c r="M28" t="b" cm="1">
        <f t="array" ref="M28">SUMPRODUCT((Table8[[#This Row],[Formula3]]&lt;$L$7:$L$70)*(Table8[[#This Row],[Formula4]]&gt;=$K$7:$K$70))&gt;1</f>
        <v>0</v>
      </c>
      <c r="N28" s="90">
        <f>Table8[[#This Row],[Time Out HH:MM AM/PM]]-Table8[[#This Row],[Time In HH:MM AM/PM]]</f>
        <v>0</v>
      </c>
      <c r="O28" s="91" t="str">
        <f>TEXT(Table8[[#This Row],[Formula 1]],"HH:MM")</f>
        <v>00:00</v>
      </c>
      <c r="P28" s="91" t="str">
        <f>LEFT(Table8[[#This Row],[Formula 2]],SEARCH(":",Table8[[#This Row],[Formula 2]])-1)</f>
        <v>00</v>
      </c>
      <c r="Q28" s="91" t="str">
        <f>RIGHT(Table8[[#This Row],[Formula 2]],SEARCH(":",Table8[[#This Row],[Formula 2]])-1)</f>
        <v>00</v>
      </c>
      <c r="R28" s="91">
        <f>Table8[[#This Row],[Hours]]*60+Table8[[#This Row],[Minutes]]</f>
        <v>0</v>
      </c>
      <c r="S28" s="92" t="str">
        <f>IF(ISBLANK(Table8[[#This Row],[Approved Service Provided]]),"",IF(OR(Table8[[#This Row],[Formula2]]="DAYS",Table8[[#This Row],[Formula2]]="TRIP"),1,ROUNDDOWN((Table8[[#This Row],[Total Minutes]]+7)/15,0)))</f>
        <v/>
      </c>
      <c r="T28" s="93" t="str">
        <f>IFERROR(VLOOKUP(Table8[[#This Row],[Combined]],'Optimax Rates'!D:G,4,FALSE),"")</f>
        <v/>
      </c>
      <c r="U28" s="93" t="str">
        <f>IF(Table8[[#This Row],[Rate]]="","",Table8[[#This Row],[Units]]*Table8[[#This Row],[Rate]])</f>
        <v/>
      </c>
      <c r="V28" s="152"/>
      <c r="W28" s="152"/>
      <c r="X28" s="152"/>
    </row>
    <row r="29" spans="1:24" s="3" customFormat="1" ht="12.5" x14ac:dyDescent="0.25">
      <c r="A29" s="19"/>
      <c r="B29" s="16"/>
      <c r="C29" s="70"/>
      <c r="D29" s="1"/>
      <c r="E29" s="2"/>
      <c r="F29" s="2"/>
      <c r="G29" s="94">
        <f t="shared" si="0"/>
        <v>0</v>
      </c>
      <c r="H29" t="str">
        <f>Table8[[#This Row],[Program Code]]&amp;Table8[[#This Row],[Approved Service Provided]]&amp;Table8[[#This Row],[County of Service]]</f>
        <v/>
      </c>
      <c r="I29" t="str">
        <f>IF(Table8[[#This Row],[Waiver]]="State SLS", "8", IF(Table8[[#This Row],[Waiver]]="OBRA", "9", ""))</f>
        <v/>
      </c>
      <c r="J29" t="str">
        <f>IFERROR(VLOOKUP(Table8[[#This Row],[Combined]],'Optimax Rates'!D:E,2,FALSE),"")</f>
        <v/>
      </c>
      <c r="K29" t="str">
        <f>TEXT(Table8[[#This Row],[Date of Service]],"m/dd/yyyy ")&amp;" "&amp;TEXT(Table8[[#This Row],[Time In HH:MM AM/PM]],"hh:mm")</f>
        <v>1/00/1900  00:00</v>
      </c>
      <c r="L29" t="str">
        <f>TEXT(Table8[[#This Row],[Date of Service]],"m/dd/yyyy ")&amp;" "&amp;TEXT(Table8[[#This Row],[Time Out HH:MM AM/PM]],"hh:mm")</f>
        <v>1/00/1900  00:00</v>
      </c>
      <c r="M29" t="b" cm="1">
        <f t="array" ref="M29">SUMPRODUCT((Table8[[#This Row],[Formula3]]&lt;$L$7:$L$70)*(Table8[[#This Row],[Formula4]]&gt;=$K$7:$K$70))&gt;1</f>
        <v>0</v>
      </c>
      <c r="N29" s="90">
        <f>Table8[[#This Row],[Time Out HH:MM AM/PM]]-Table8[[#This Row],[Time In HH:MM AM/PM]]</f>
        <v>0</v>
      </c>
      <c r="O29" s="91" t="str">
        <f>TEXT(Table8[[#This Row],[Formula 1]],"HH:MM")</f>
        <v>00:00</v>
      </c>
      <c r="P29" s="91" t="str">
        <f>LEFT(Table8[[#This Row],[Formula 2]],SEARCH(":",Table8[[#This Row],[Formula 2]])-1)</f>
        <v>00</v>
      </c>
      <c r="Q29" s="91" t="str">
        <f>RIGHT(Table8[[#This Row],[Formula 2]],SEARCH(":",Table8[[#This Row],[Formula 2]])-1)</f>
        <v>00</v>
      </c>
      <c r="R29" s="91">
        <f>Table8[[#This Row],[Hours]]*60+Table8[[#This Row],[Minutes]]</f>
        <v>0</v>
      </c>
      <c r="S29" s="92" t="str">
        <f>IF(ISBLANK(Table8[[#This Row],[Approved Service Provided]]),"",IF(OR(Table8[[#This Row],[Formula2]]="DAYS",Table8[[#This Row],[Formula2]]="TRIP"),1,ROUNDDOWN((Table8[[#This Row],[Total Minutes]]+7)/15,0)))</f>
        <v/>
      </c>
      <c r="T29" s="93" t="str">
        <f>IFERROR(VLOOKUP(Table8[[#This Row],[Combined]],'Optimax Rates'!D:G,4,FALSE),"")</f>
        <v/>
      </c>
      <c r="U29" s="93" t="str">
        <f>IF(Table8[[#This Row],[Rate]]="","",Table8[[#This Row],[Units]]*Table8[[#This Row],[Rate]])</f>
        <v/>
      </c>
      <c r="V29" s="152"/>
      <c r="W29" s="152"/>
      <c r="X29" s="152"/>
    </row>
    <row r="30" spans="1:24" s="3" customFormat="1" hidden="1" thickBot="1" x14ac:dyDescent="0.3">
      <c r="A30" s="57"/>
      <c r="B30" s="61"/>
      <c r="C30" s="155"/>
      <c r="D30" s="62"/>
      <c r="E30" s="63"/>
      <c r="F30" s="63"/>
      <c r="G30" s="94">
        <f t="shared" si="0"/>
        <v>0</v>
      </c>
      <c r="H30" t="str">
        <f>Table8[[#This Row],[Program Code]]&amp;Table8[[#This Row],[Approved Service Provided]]&amp;Table8[[#This Row],[County of Service]]</f>
        <v/>
      </c>
      <c r="I30" t="str">
        <f>IF(Table8[[#This Row],[Waiver]]="State SLS", "8", IF(Table8[[#This Row],[Waiver]]="OBRA", "9", ""))</f>
        <v/>
      </c>
      <c r="J30" t="str">
        <f>IFERROR(VLOOKUP(Table8[[#This Row],[Combined]],'Optimax Rates'!D:E,2,FALSE),"")</f>
        <v/>
      </c>
      <c r="K30" t="str">
        <f>TEXT(Table8[[#This Row],[Date of Service]],"m/dd/yyyy ")&amp;" "&amp;TEXT(Table8[[#This Row],[Time In HH:MM AM/PM]],"hh:mm")</f>
        <v>1/00/1900  00:00</v>
      </c>
      <c r="L30" t="str">
        <f>TEXT(Table8[[#This Row],[Date of Service]],"m/dd/yyyy ")&amp;" "&amp;TEXT(Table8[[#This Row],[Time Out HH:MM AM/PM]],"hh:mm")</f>
        <v>1/00/1900  00:00</v>
      </c>
      <c r="M30" t="b" cm="1">
        <f t="array" ref="M30">SUMPRODUCT((Table8[[#This Row],[Formula3]]&lt;$L$7:$L$70)*(Table8[[#This Row],[Formula4]]&gt;=$K$7:$K$70))&gt;1</f>
        <v>0</v>
      </c>
      <c r="N30" s="90">
        <f>Table8[[#This Row],[Time Out HH:MM AM/PM]]-Table8[[#This Row],[Time In HH:MM AM/PM]]</f>
        <v>0</v>
      </c>
      <c r="O30" s="91" t="str">
        <f>TEXT(Table8[[#This Row],[Formula 1]],"HH:MM")</f>
        <v>00:00</v>
      </c>
      <c r="P30" s="91" t="str">
        <f>LEFT(Table8[[#This Row],[Formula 2]],SEARCH(":",Table8[[#This Row],[Formula 2]])-1)</f>
        <v>00</v>
      </c>
      <c r="Q30" s="91" t="str">
        <f>RIGHT(Table8[[#This Row],[Formula 2]],SEARCH(":",Table8[[#This Row],[Formula 2]])-1)</f>
        <v>00</v>
      </c>
      <c r="R30" s="91">
        <f>Table8[[#This Row],[Hours]]*60+Table8[[#This Row],[Minutes]]</f>
        <v>0</v>
      </c>
      <c r="S30" s="92" t="str">
        <f>IF(ISBLANK(Table8[[#This Row],[Approved Service Provided]]),"",IF(OR(Table8[[#This Row],[Formula2]]="DAYS",Table8[[#This Row],[Formula2]]="TRIP"),1,ROUNDDOWN((Table8[[#This Row],[Total Minutes]]+7)/15,0)))</f>
        <v/>
      </c>
      <c r="T30" s="93" t="str">
        <f>IFERROR(VLOOKUP(Table8[[#This Row],[Combined]],'Optimax Rates'!D:G,4,FALSE),"")</f>
        <v/>
      </c>
      <c r="U30" s="93" t="str">
        <f>IF(Table8[[#This Row],[Rate]]="","",Table8[[#This Row],[Units]]*Table8[[#This Row],[Rate]])</f>
        <v/>
      </c>
      <c r="V30" s="152"/>
      <c r="W30" s="152"/>
      <c r="X30" s="152"/>
    </row>
    <row r="31" spans="1:24" s="3" customFormat="1" hidden="1" thickBot="1" x14ac:dyDescent="0.3">
      <c r="A31" s="57"/>
      <c r="B31" s="61"/>
      <c r="C31" s="155"/>
      <c r="D31" s="62"/>
      <c r="E31" s="63"/>
      <c r="F31" s="63"/>
      <c r="G31" s="94">
        <f t="shared" si="0"/>
        <v>0</v>
      </c>
      <c r="H31" t="str">
        <f>Table8[[#This Row],[Program Code]]&amp;Table8[[#This Row],[Approved Service Provided]]&amp;Table8[[#This Row],[County of Service]]</f>
        <v/>
      </c>
      <c r="I31" t="str">
        <f>IF(Table8[[#This Row],[Waiver]]="State SLS", "8", IF(Table8[[#This Row],[Waiver]]="OBRA", "9", ""))</f>
        <v/>
      </c>
      <c r="J31" t="str">
        <f>IFERROR(VLOOKUP(Table8[[#This Row],[Combined]],'Optimax Rates'!D:E,2,FALSE),"")</f>
        <v/>
      </c>
      <c r="K31" t="str">
        <f>TEXT(Table8[[#This Row],[Date of Service]],"m/dd/yyyy ")&amp;" "&amp;TEXT(Table8[[#This Row],[Time In HH:MM AM/PM]],"hh:mm")</f>
        <v>1/00/1900  00:00</v>
      </c>
      <c r="L31" t="str">
        <f>TEXT(Table8[[#This Row],[Date of Service]],"m/dd/yyyy ")&amp;" "&amp;TEXT(Table8[[#This Row],[Time Out HH:MM AM/PM]],"hh:mm")</f>
        <v>1/00/1900  00:00</v>
      </c>
      <c r="M31" t="b" cm="1">
        <f t="array" ref="M31">SUMPRODUCT((Table8[[#This Row],[Formula3]]&lt;$L$7:$L$70)*(Table8[[#This Row],[Formula4]]&gt;=$K$7:$K$70))&gt;1</f>
        <v>0</v>
      </c>
      <c r="N31" s="90">
        <f>Table8[[#This Row],[Time Out HH:MM AM/PM]]-Table8[[#This Row],[Time In HH:MM AM/PM]]</f>
        <v>0</v>
      </c>
      <c r="O31" s="91" t="str">
        <f>TEXT(Table8[[#This Row],[Formula 1]],"HH:MM")</f>
        <v>00:00</v>
      </c>
      <c r="P31" s="91" t="str">
        <f>LEFT(Table8[[#This Row],[Formula 2]],SEARCH(":",Table8[[#This Row],[Formula 2]])-1)</f>
        <v>00</v>
      </c>
      <c r="Q31" s="91" t="str">
        <f>RIGHT(Table8[[#This Row],[Formula 2]],SEARCH(":",Table8[[#This Row],[Formula 2]])-1)</f>
        <v>00</v>
      </c>
      <c r="R31" s="91">
        <f>Table8[[#This Row],[Hours]]*60+Table8[[#This Row],[Minutes]]</f>
        <v>0</v>
      </c>
      <c r="S31" s="92" t="str">
        <f>IF(ISBLANK(Table8[[#This Row],[Approved Service Provided]]),"",IF(OR(Table8[[#This Row],[Formula2]]="DAYS",Table8[[#This Row],[Formula2]]="TRIP"),1,ROUNDDOWN((Table8[[#This Row],[Total Minutes]]+7)/15,0)))</f>
        <v/>
      </c>
      <c r="T31" s="93" t="str">
        <f>IFERROR(VLOOKUP(Table8[[#This Row],[Combined]],'Optimax Rates'!D:G,4,FALSE),"")</f>
        <v/>
      </c>
      <c r="U31" s="93" t="str">
        <f>IF(Table8[[#This Row],[Rate]]="","",Table8[[#This Row],[Units]]*Table8[[#This Row],[Rate]])</f>
        <v/>
      </c>
      <c r="V31" s="152"/>
      <c r="W31" s="152"/>
      <c r="X31" s="152"/>
    </row>
    <row r="32" spans="1:24" s="3" customFormat="1" hidden="1" thickBot="1" x14ac:dyDescent="0.3">
      <c r="A32" s="57"/>
      <c r="B32" s="61"/>
      <c r="C32" s="155"/>
      <c r="D32" s="62"/>
      <c r="E32" s="63"/>
      <c r="F32" s="63"/>
      <c r="G32" s="94">
        <f t="shared" si="0"/>
        <v>0</v>
      </c>
      <c r="H32" t="str">
        <f>Table8[[#This Row],[Program Code]]&amp;Table8[[#This Row],[Approved Service Provided]]&amp;Table8[[#This Row],[County of Service]]</f>
        <v/>
      </c>
      <c r="I32" t="str">
        <f>IF(Table8[[#This Row],[Waiver]]="State SLS", "8", IF(Table8[[#This Row],[Waiver]]="OBRA", "9", ""))</f>
        <v/>
      </c>
      <c r="J32" t="str">
        <f>IFERROR(VLOOKUP(Table8[[#This Row],[Combined]],'Optimax Rates'!D:E,2,FALSE),"")</f>
        <v/>
      </c>
      <c r="K32" t="str">
        <f>TEXT(Table8[[#This Row],[Date of Service]],"m/dd/yyyy ")&amp;" "&amp;TEXT(Table8[[#This Row],[Time In HH:MM AM/PM]],"hh:mm")</f>
        <v>1/00/1900  00:00</v>
      </c>
      <c r="L32" t="str">
        <f>TEXT(Table8[[#This Row],[Date of Service]],"m/dd/yyyy ")&amp;" "&amp;TEXT(Table8[[#This Row],[Time Out HH:MM AM/PM]],"hh:mm")</f>
        <v>1/00/1900  00:00</v>
      </c>
      <c r="M32" t="b" cm="1">
        <f t="array" ref="M32">SUMPRODUCT((Table8[[#This Row],[Formula3]]&lt;$L$7:$L$70)*(Table8[[#This Row],[Formula4]]&gt;=$K$7:$K$70))&gt;1</f>
        <v>0</v>
      </c>
      <c r="N32" s="90">
        <f>Table8[[#This Row],[Time Out HH:MM AM/PM]]-Table8[[#This Row],[Time In HH:MM AM/PM]]</f>
        <v>0</v>
      </c>
      <c r="O32" s="91" t="str">
        <f>TEXT(Table8[[#This Row],[Formula 1]],"HH:MM")</f>
        <v>00:00</v>
      </c>
      <c r="P32" s="91" t="str">
        <f>LEFT(Table8[[#This Row],[Formula 2]],SEARCH(":",Table8[[#This Row],[Formula 2]])-1)</f>
        <v>00</v>
      </c>
      <c r="Q32" s="91" t="str">
        <f>RIGHT(Table8[[#This Row],[Formula 2]],SEARCH(":",Table8[[#This Row],[Formula 2]])-1)</f>
        <v>00</v>
      </c>
      <c r="R32" s="91">
        <f>Table8[[#This Row],[Hours]]*60+Table8[[#This Row],[Minutes]]</f>
        <v>0</v>
      </c>
      <c r="S32" s="92" t="str">
        <f>IF(ISBLANK(Table8[[#This Row],[Approved Service Provided]]),"",IF(OR(Table8[[#This Row],[Formula2]]="DAYS",Table8[[#This Row],[Formula2]]="TRIP"),1,ROUNDDOWN((Table8[[#This Row],[Total Minutes]]+7)/15,0)))</f>
        <v/>
      </c>
      <c r="T32" s="93" t="str">
        <f>IFERROR(VLOOKUP(Table8[[#This Row],[Combined]],'Optimax Rates'!D:G,4,FALSE),"")</f>
        <v/>
      </c>
      <c r="U32" s="93" t="str">
        <f>IF(Table8[[#This Row],[Rate]]="","",Table8[[#This Row],[Units]]*Table8[[#This Row],[Rate]])</f>
        <v/>
      </c>
      <c r="V32" s="152"/>
      <c r="W32" s="152"/>
      <c r="X32" s="152"/>
    </row>
    <row r="33" spans="1:25" s="3" customFormat="1" hidden="1" thickBot="1" x14ac:dyDescent="0.3">
      <c r="A33" s="19"/>
      <c r="B33" s="16"/>
      <c r="C33" s="70"/>
      <c r="D33" s="1"/>
      <c r="E33" s="2"/>
      <c r="F33" s="2"/>
      <c r="G33" s="94">
        <f t="shared" si="0"/>
        <v>0</v>
      </c>
      <c r="H33" t="str">
        <f>Table8[[#This Row],[Program Code]]&amp;Table8[[#This Row],[Approved Service Provided]]&amp;Table8[[#This Row],[County of Service]]</f>
        <v/>
      </c>
      <c r="I33" t="str">
        <f>IF(Table8[[#This Row],[Waiver]]="State SLS", "8", IF(Table8[[#This Row],[Waiver]]="OBRA", "9", ""))</f>
        <v/>
      </c>
      <c r="J33" t="str">
        <f>IFERROR(VLOOKUP(Table8[[#This Row],[Combined]],'Optimax Rates'!D:E,2,FALSE),"")</f>
        <v/>
      </c>
      <c r="K33" t="str">
        <f>TEXT(Table8[[#This Row],[Date of Service]],"m/dd/yyyy ")&amp;" "&amp;TEXT(Table8[[#This Row],[Time In HH:MM AM/PM]],"hh:mm")</f>
        <v>1/00/1900  00:00</v>
      </c>
      <c r="L33" t="str">
        <f>TEXT(Table8[[#This Row],[Date of Service]],"m/dd/yyyy ")&amp;" "&amp;TEXT(Table8[[#This Row],[Time Out HH:MM AM/PM]],"hh:mm")</f>
        <v>1/00/1900  00:00</v>
      </c>
      <c r="M33" t="b" cm="1">
        <f t="array" ref="M33">SUMPRODUCT((Table8[[#This Row],[Formula3]]&lt;$L$7:$L$70)*(Table8[[#This Row],[Formula4]]&gt;=$K$7:$K$70))&gt;1</f>
        <v>0</v>
      </c>
      <c r="N33" s="90">
        <f>Table8[[#This Row],[Time Out HH:MM AM/PM]]-Table8[[#This Row],[Time In HH:MM AM/PM]]</f>
        <v>0</v>
      </c>
      <c r="O33" s="91" t="str">
        <f>TEXT(Table8[[#This Row],[Formula 1]],"HH:MM")</f>
        <v>00:00</v>
      </c>
      <c r="P33" s="91" t="str">
        <f>LEFT(Table8[[#This Row],[Formula 2]],SEARCH(":",Table8[[#This Row],[Formula 2]])-1)</f>
        <v>00</v>
      </c>
      <c r="Q33" s="91" t="str">
        <f>RIGHT(Table8[[#This Row],[Formula 2]],SEARCH(":",Table8[[#This Row],[Formula 2]])-1)</f>
        <v>00</v>
      </c>
      <c r="R33" s="91">
        <f>Table8[[#This Row],[Hours]]*60+Table8[[#This Row],[Minutes]]</f>
        <v>0</v>
      </c>
      <c r="S33" s="92" t="str">
        <f>IF(ISBLANK(Table8[[#This Row],[Approved Service Provided]]),"",IF(OR(Table8[[#This Row],[Formula2]]="DAYS",Table8[[#This Row],[Formula2]]="TRIP"),1,ROUNDDOWN((Table8[[#This Row],[Total Minutes]]+7)/15,0)))</f>
        <v/>
      </c>
      <c r="T33" s="93" t="str">
        <f>IFERROR(VLOOKUP(Table8[[#This Row],[Combined]],'Optimax Rates'!D:G,4,FALSE),"")</f>
        <v/>
      </c>
      <c r="U33" s="93" t="str">
        <f>IF(Table8[[#This Row],[Rate]]="","",Table8[[#This Row],[Units]]*Table8[[#This Row],[Rate]])</f>
        <v/>
      </c>
      <c r="V33" s="152"/>
      <c r="W33" s="152"/>
      <c r="X33" s="152"/>
    </row>
    <row r="34" spans="1:25" s="3" customFormat="1" ht="13.5" hidden="1" thickBot="1" x14ac:dyDescent="0.3">
      <c r="A34" s="19"/>
      <c r="B34" s="16"/>
      <c r="C34" s="70"/>
      <c r="D34" s="1"/>
      <c r="E34" s="2"/>
      <c r="F34" s="2"/>
      <c r="G34" s="94">
        <f t="shared" si="0"/>
        <v>0</v>
      </c>
      <c r="H34" t="str">
        <f>Table8[[#This Row],[Program Code]]&amp;Table8[[#This Row],[Approved Service Provided]]&amp;Table8[[#This Row],[County of Service]]</f>
        <v/>
      </c>
      <c r="I34" t="str">
        <f>IF(Table8[[#This Row],[Waiver]]="State SLS", "8", IF(Table8[[#This Row],[Waiver]]="OBRA", "9", ""))</f>
        <v/>
      </c>
      <c r="J34" t="str">
        <f>IFERROR(VLOOKUP(Table8[[#This Row],[Combined]],'Optimax Rates'!D:E,2,FALSE),"")</f>
        <v/>
      </c>
      <c r="K34" t="str">
        <f>TEXT(Table8[[#This Row],[Date of Service]],"m/dd/yyyy ")&amp;" "&amp;TEXT(Table8[[#This Row],[Time In HH:MM AM/PM]],"hh:mm")</f>
        <v>1/00/1900  00:00</v>
      </c>
      <c r="L34" t="str">
        <f>TEXT(Table8[[#This Row],[Date of Service]],"m/dd/yyyy ")&amp;" "&amp;TEXT(Table8[[#This Row],[Time Out HH:MM AM/PM]],"hh:mm")</f>
        <v>1/00/1900  00:00</v>
      </c>
      <c r="M34" t="b" cm="1">
        <f t="array" ref="M34">SUMPRODUCT((Table8[[#This Row],[Formula3]]&lt;$L$7:$L$70)*(Table8[[#This Row],[Formula4]]&gt;=$K$7:$K$70))&gt;1</f>
        <v>0</v>
      </c>
      <c r="N34" s="90">
        <f>Table8[[#This Row],[Time Out HH:MM AM/PM]]-Table8[[#This Row],[Time In HH:MM AM/PM]]</f>
        <v>0</v>
      </c>
      <c r="O34" s="91" t="str">
        <f>TEXT(Table8[[#This Row],[Formula 1]],"HH:MM")</f>
        <v>00:00</v>
      </c>
      <c r="P34" s="91" t="str">
        <f>LEFT(Table8[[#This Row],[Formula 2]],SEARCH(":",Table8[[#This Row],[Formula 2]])-1)</f>
        <v>00</v>
      </c>
      <c r="Q34" s="91" t="str">
        <f>RIGHT(Table8[[#This Row],[Formula 2]],SEARCH(":",Table8[[#This Row],[Formula 2]])-1)</f>
        <v>00</v>
      </c>
      <c r="R34" s="91">
        <f>Table8[[#This Row],[Hours]]*60+Table8[[#This Row],[Minutes]]</f>
        <v>0</v>
      </c>
      <c r="S34" s="92" t="str">
        <f>IF(ISBLANK(Table8[[#This Row],[Approved Service Provided]]),"",IF(OR(Table8[[#This Row],[Formula2]]="DAYS",Table8[[#This Row],[Formula2]]="TRIP"),1,ROUNDDOWN((Table8[[#This Row],[Total Minutes]]+7)/15,0)))</f>
        <v/>
      </c>
      <c r="T34" s="93" t="str">
        <f>IFERROR(VLOOKUP(Table8[[#This Row],[Combined]],'Optimax Rates'!D:G,4,FALSE),"")</f>
        <v/>
      </c>
      <c r="U34" s="93" t="str">
        <f>IF(Table8[[#This Row],[Rate]]="","",Table8[[#This Row],[Units]]*Table8[[#This Row],[Rate]])</f>
        <v/>
      </c>
      <c r="V34" s="152"/>
      <c r="W34" s="152"/>
      <c r="X34" s="152"/>
      <c r="Y34" s="35"/>
    </row>
    <row r="35" spans="1:25" ht="13.5" hidden="1" thickBot="1" x14ac:dyDescent="0.35">
      <c r="A35" s="19"/>
      <c r="B35" s="16"/>
      <c r="C35" s="70"/>
      <c r="D35" s="1"/>
      <c r="E35" s="2"/>
      <c r="F35" s="2"/>
      <c r="G35" s="94">
        <f t="shared" si="0"/>
        <v>0</v>
      </c>
      <c r="H35" t="str">
        <f>Table8[[#This Row],[Program Code]]&amp;Table8[[#This Row],[Approved Service Provided]]&amp;Table8[[#This Row],[County of Service]]</f>
        <v/>
      </c>
      <c r="I35" t="str">
        <f>IF(Table8[[#This Row],[Waiver]]="State SLS", "8", IF(Table8[[#This Row],[Waiver]]="OBRA", "9", ""))</f>
        <v/>
      </c>
      <c r="J35" t="str">
        <f>IFERROR(VLOOKUP(Table8[[#This Row],[Combined]],'Optimax Rates'!D:E,2,FALSE),"")</f>
        <v/>
      </c>
      <c r="K35" t="str">
        <f>TEXT(Table8[[#This Row],[Date of Service]],"m/dd/yyyy ")&amp;" "&amp;TEXT(Table8[[#This Row],[Time In HH:MM AM/PM]],"hh:mm")</f>
        <v>1/00/1900  00:00</v>
      </c>
      <c r="L35" t="str">
        <f>TEXT(Table8[[#This Row],[Date of Service]],"m/dd/yyyy ")&amp;" "&amp;TEXT(Table8[[#This Row],[Time Out HH:MM AM/PM]],"hh:mm")</f>
        <v>1/00/1900  00:00</v>
      </c>
      <c r="M35" t="b" cm="1">
        <f t="array" ref="M35">SUMPRODUCT((Table8[[#This Row],[Formula3]]&lt;$L$7:$L$70)*(Table8[[#This Row],[Formula4]]&gt;=$K$7:$K$70))&gt;1</f>
        <v>0</v>
      </c>
      <c r="N35" s="90">
        <f>Table8[[#This Row],[Time Out HH:MM AM/PM]]-Table8[[#This Row],[Time In HH:MM AM/PM]]</f>
        <v>0</v>
      </c>
      <c r="O35" s="91" t="str">
        <f>TEXT(Table8[[#This Row],[Formula 1]],"HH:MM")</f>
        <v>00:00</v>
      </c>
      <c r="P35" s="91" t="str">
        <f>LEFT(Table8[[#This Row],[Formula 2]],SEARCH(":",Table8[[#This Row],[Formula 2]])-1)</f>
        <v>00</v>
      </c>
      <c r="Q35" s="91" t="str">
        <f>RIGHT(Table8[[#This Row],[Formula 2]],SEARCH(":",Table8[[#This Row],[Formula 2]])-1)</f>
        <v>00</v>
      </c>
      <c r="R35" s="91">
        <f>Table8[[#This Row],[Hours]]*60+Table8[[#This Row],[Minutes]]</f>
        <v>0</v>
      </c>
      <c r="S35" s="92" t="str">
        <f>IF(ISBLANK(Table8[[#This Row],[Approved Service Provided]]),"",IF(OR(Table8[[#This Row],[Formula2]]="DAYS",Table8[[#This Row],[Formula2]]="TRIP"),1,ROUNDDOWN((Table8[[#This Row],[Total Minutes]]+7)/15,0)))</f>
        <v/>
      </c>
      <c r="T35" s="93" t="str">
        <f>IFERROR(VLOOKUP(Table8[[#This Row],[Combined]],'Optimax Rates'!D:G,4,FALSE),"")</f>
        <v/>
      </c>
      <c r="U35" s="93" t="str">
        <f>IF(Table8[[#This Row],[Rate]]="","",Table8[[#This Row],[Units]]*Table8[[#This Row],[Rate]])</f>
        <v/>
      </c>
      <c r="V35" s="152"/>
      <c r="W35" s="152"/>
      <c r="X35" s="152"/>
      <c r="Y35" s="35"/>
    </row>
    <row r="36" spans="1:25" ht="13.5" hidden="1" thickBot="1" x14ac:dyDescent="0.35">
      <c r="A36" s="19"/>
      <c r="B36" s="16"/>
      <c r="C36" s="70"/>
      <c r="D36" s="1"/>
      <c r="E36" s="2"/>
      <c r="F36" s="2"/>
      <c r="G36" s="94">
        <f t="shared" si="0"/>
        <v>0</v>
      </c>
      <c r="H36" t="str">
        <f>Table8[[#This Row],[Program Code]]&amp;Table8[[#This Row],[Approved Service Provided]]&amp;Table8[[#This Row],[County of Service]]</f>
        <v/>
      </c>
      <c r="I36" t="str">
        <f>IF(Table8[[#This Row],[Waiver]]="State SLS", "8", IF(Table8[[#This Row],[Waiver]]="OBRA", "9", ""))</f>
        <v/>
      </c>
      <c r="J36" t="str">
        <f>IFERROR(VLOOKUP(Table8[[#This Row],[Combined]],'Optimax Rates'!D:E,2,FALSE),"")</f>
        <v/>
      </c>
      <c r="K36" t="str">
        <f>TEXT(Table8[[#This Row],[Date of Service]],"m/dd/yyyy ")&amp;" "&amp;TEXT(Table8[[#This Row],[Time In HH:MM AM/PM]],"hh:mm")</f>
        <v>1/00/1900  00:00</v>
      </c>
      <c r="L36" t="str">
        <f>TEXT(Table8[[#This Row],[Date of Service]],"m/dd/yyyy ")&amp;" "&amp;TEXT(Table8[[#This Row],[Time Out HH:MM AM/PM]],"hh:mm")</f>
        <v>1/00/1900  00:00</v>
      </c>
      <c r="M36" t="b" cm="1">
        <f t="array" ref="M36">SUMPRODUCT((Table8[[#This Row],[Formula3]]&lt;$L$7:$L$70)*(Table8[[#This Row],[Formula4]]&gt;=$K$7:$K$70))&gt;1</f>
        <v>0</v>
      </c>
      <c r="N36" s="90">
        <f>Table8[[#This Row],[Time Out HH:MM AM/PM]]-Table8[[#This Row],[Time In HH:MM AM/PM]]</f>
        <v>0</v>
      </c>
      <c r="O36" s="91" t="str">
        <f>TEXT(Table8[[#This Row],[Formula 1]],"HH:MM")</f>
        <v>00:00</v>
      </c>
      <c r="P36" s="91" t="str">
        <f>LEFT(Table8[[#This Row],[Formula 2]],SEARCH(":",Table8[[#This Row],[Formula 2]])-1)</f>
        <v>00</v>
      </c>
      <c r="Q36" s="91" t="str">
        <f>RIGHT(Table8[[#This Row],[Formula 2]],SEARCH(":",Table8[[#This Row],[Formula 2]])-1)</f>
        <v>00</v>
      </c>
      <c r="R36" s="91">
        <f>Table8[[#This Row],[Hours]]*60+Table8[[#This Row],[Minutes]]</f>
        <v>0</v>
      </c>
      <c r="S36" s="92" t="str">
        <f>IF(ISBLANK(Table8[[#This Row],[Approved Service Provided]]),"",IF(OR(Table8[[#This Row],[Formula2]]="DAYS",Table8[[#This Row],[Formula2]]="TRIP"),1,ROUNDDOWN((Table8[[#This Row],[Total Minutes]]+7)/15,0)))</f>
        <v/>
      </c>
      <c r="T36" s="93" t="str">
        <f>IFERROR(VLOOKUP(Table8[[#This Row],[Combined]],'Optimax Rates'!D:G,4,FALSE),"")</f>
        <v/>
      </c>
      <c r="U36" s="93" t="str">
        <f>IF(Table8[[#This Row],[Rate]]="","",Table8[[#This Row],[Units]]*Table8[[#This Row],[Rate]])</f>
        <v/>
      </c>
      <c r="V36" s="152"/>
      <c r="W36" s="152"/>
      <c r="X36" s="152"/>
    </row>
    <row r="37" spans="1:25" ht="13.5" hidden="1" thickBot="1" x14ac:dyDescent="0.35">
      <c r="A37" s="19"/>
      <c r="B37" s="16"/>
      <c r="C37" s="70"/>
      <c r="D37" s="1"/>
      <c r="E37" s="2"/>
      <c r="F37" s="2"/>
      <c r="G37" s="94">
        <f t="shared" si="0"/>
        <v>0</v>
      </c>
      <c r="H37" t="str">
        <f>Table8[[#This Row],[Program Code]]&amp;Table8[[#This Row],[Approved Service Provided]]&amp;Table8[[#This Row],[County of Service]]</f>
        <v/>
      </c>
      <c r="I37" t="str">
        <f>IF(Table8[[#This Row],[Waiver]]="State SLS", "8", IF(Table8[[#This Row],[Waiver]]="OBRA", "9", ""))</f>
        <v/>
      </c>
      <c r="J37" t="str">
        <f>IFERROR(VLOOKUP(Table8[[#This Row],[Combined]],'Optimax Rates'!D:E,2,FALSE),"")</f>
        <v/>
      </c>
      <c r="K37" t="str">
        <f>TEXT(Table8[[#This Row],[Date of Service]],"m/dd/yyyy ")&amp;" "&amp;TEXT(Table8[[#This Row],[Time In HH:MM AM/PM]],"hh:mm")</f>
        <v>1/00/1900  00:00</v>
      </c>
      <c r="L37" t="str">
        <f>TEXT(Table8[[#This Row],[Date of Service]],"m/dd/yyyy ")&amp;" "&amp;TEXT(Table8[[#This Row],[Time Out HH:MM AM/PM]],"hh:mm")</f>
        <v>1/00/1900  00:00</v>
      </c>
      <c r="M37" t="b" cm="1">
        <f t="array" ref="M37">SUMPRODUCT((Table8[[#This Row],[Formula3]]&lt;$L$7:$L$70)*(Table8[[#This Row],[Formula4]]&gt;=$K$7:$K$70))&gt;1</f>
        <v>0</v>
      </c>
      <c r="N37" s="90">
        <f>Table8[[#This Row],[Time Out HH:MM AM/PM]]-Table8[[#This Row],[Time In HH:MM AM/PM]]</f>
        <v>0</v>
      </c>
      <c r="O37" s="91" t="str">
        <f>TEXT(Table8[[#This Row],[Formula 1]],"HH:MM")</f>
        <v>00:00</v>
      </c>
      <c r="P37" s="91" t="str">
        <f>LEFT(Table8[[#This Row],[Formula 2]],SEARCH(":",Table8[[#This Row],[Formula 2]])-1)</f>
        <v>00</v>
      </c>
      <c r="Q37" s="91" t="str">
        <f>RIGHT(Table8[[#This Row],[Formula 2]],SEARCH(":",Table8[[#This Row],[Formula 2]])-1)</f>
        <v>00</v>
      </c>
      <c r="R37" s="91">
        <f>Table8[[#This Row],[Hours]]*60+Table8[[#This Row],[Minutes]]</f>
        <v>0</v>
      </c>
      <c r="S37" s="92" t="str">
        <f>IF(ISBLANK(Table8[[#This Row],[Approved Service Provided]]),"",IF(OR(Table8[[#This Row],[Formula2]]="DAYS",Table8[[#This Row],[Formula2]]="TRIP"),1,ROUNDDOWN((Table8[[#This Row],[Total Minutes]]+7)/15,0)))</f>
        <v/>
      </c>
      <c r="T37" s="93" t="str">
        <f>IFERROR(VLOOKUP(Table8[[#This Row],[Combined]],'Optimax Rates'!D:G,4,FALSE),"")</f>
        <v/>
      </c>
      <c r="U37" s="93" t="str">
        <f>IF(Table8[[#This Row],[Rate]]="","",Table8[[#This Row],[Units]]*Table8[[#This Row],[Rate]])</f>
        <v/>
      </c>
      <c r="V37" s="152"/>
      <c r="W37" s="152"/>
      <c r="X37" s="152"/>
    </row>
    <row r="38" spans="1:25" ht="13.5" hidden="1" thickBot="1" x14ac:dyDescent="0.35">
      <c r="A38" s="19"/>
      <c r="B38" s="16"/>
      <c r="C38" s="70"/>
      <c r="D38" s="1"/>
      <c r="E38" s="2"/>
      <c r="F38" s="2"/>
      <c r="G38" s="94">
        <f t="shared" si="0"/>
        <v>0</v>
      </c>
      <c r="H38" t="str">
        <f>Table8[[#This Row],[Program Code]]&amp;Table8[[#This Row],[Approved Service Provided]]&amp;Table8[[#This Row],[County of Service]]</f>
        <v/>
      </c>
      <c r="I38" t="str">
        <f>IF(Table8[[#This Row],[Waiver]]="State SLS", "8", IF(Table8[[#This Row],[Waiver]]="OBRA", "9", ""))</f>
        <v/>
      </c>
      <c r="J38" t="str">
        <f>IFERROR(VLOOKUP(Table8[[#This Row],[Combined]],'Optimax Rates'!D:E,2,FALSE),"")</f>
        <v/>
      </c>
      <c r="K38" t="str">
        <f>TEXT(Table8[[#This Row],[Date of Service]],"m/dd/yyyy ")&amp;" "&amp;TEXT(Table8[[#This Row],[Time In HH:MM AM/PM]],"hh:mm")</f>
        <v>1/00/1900  00:00</v>
      </c>
      <c r="L38" t="str">
        <f>TEXT(Table8[[#This Row],[Date of Service]],"m/dd/yyyy ")&amp;" "&amp;TEXT(Table8[[#This Row],[Time Out HH:MM AM/PM]],"hh:mm")</f>
        <v>1/00/1900  00:00</v>
      </c>
      <c r="M38" t="b" cm="1">
        <f t="array" ref="M38">SUMPRODUCT((Table8[[#This Row],[Formula3]]&lt;$L$7:$L$70)*(Table8[[#This Row],[Formula4]]&gt;=$K$7:$K$70))&gt;1</f>
        <v>0</v>
      </c>
      <c r="N38" s="90">
        <f>Table8[[#This Row],[Time Out HH:MM AM/PM]]-Table8[[#This Row],[Time In HH:MM AM/PM]]</f>
        <v>0</v>
      </c>
      <c r="O38" s="91" t="str">
        <f>TEXT(Table8[[#This Row],[Formula 1]],"HH:MM")</f>
        <v>00:00</v>
      </c>
      <c r="P38" s="91" t="str">
        <f>LEFT(Table8[[#This Row],[Formula 2]],SEARCH(":",Table8[[#This Row],[Formula 2]])-1)</f>
        <v>00</v>
      </c>
      <c r="Q38" s="91" t="str">
        <f>RIGHT(Table8[[#This Row],[Formula 2]],SEARCH(":",Table8[[#This Row],[Formula 2]])-1)</f>
        <v>00</v>
      </c>
      <c r="R38" s="91">
        <f>Table8[[#This Row],[Hours]]*60+Table8[[#This Row],[Minutes]]</f>
        <v>0</v>
      </c>
      <c r="S38" s="92" t="str">
        <f>IF(ISBLANK(Table8[[#This Row],[Approved Service Provided]]),"",IF(OR(Table8[[#This Row],[Formula2]]="DAYS",Table8[[#This Row],[Formula2]]="TRIP"),1,ROUNDDOWN((Table8[[#This Row],[Total Minutes]]+7)/15,0)))</f>
        <v/>
      </c>
      <c r="T38" s="93" t="str">
        <f>IFERROR(VLOOKUP(Table8[[#This Row],[Combined]],'Optimax Rates'!D:G,4,FALSE),"")</f>
        <v/>
      </c>
      <c r="U38" s="93" t="str">
        <f>IF(Table8[[#This Row],[Rate]]="","",Table8[[#This Row],[Units]]*Table8[[#This Row],[Rate]])</f>
        <v/>
      </c>
      <c r="V38" s="152"/>
      <c r="W38" s="152"/>
      <c r="X38" s="152"/>
    </row>
    <row r="39" spans="1:25" ht="13.5" hidden="1" thickBot="1" x14ac:dyDescent="0.35">
      <c r="A39" s="19"/>
      <c r="B39" s="16"/>
      <c r="C39" s="70"/>
      <c r="D39" s="1"/>
      <c r="E39" s="2"/>
      <c r="F39" s="2"/>
      <c r="G39" s="94">
        <f t="shared" ref="G39:G70" si="1">$D$3</f>
        <v>0</v>
      </c>
      <c r="H39" t="str">
        <f>Table8[[#This Row],[Program Code]]&amp;Table8[[#This Row],[Approved Service Provided]]&amp;Table8[[#This Row],[County of Service]]</f>
        <v/>
      </c>
      <c r="I39" t="str">
        <f>IF(Table8[[#This Row],[Waiver]]="State SLS", "8", IF(Table8[[#This Row],[Waiver]]="OBRA", "9", ""))</f>
        <v/>
      </c>
      <c r="J39" t="str">
        <f>IFERROR(VLOOKUP(Table8[[#This Row],[Combined]],'Optimax Rates'!D:E,2,FALSE),"")</f>
        <v/>
      </c>
      <c r="K39" t="str">
        <f>TEXT(Table8[[#This Row],[Date of Service]],"m/dd/yyyy ")&amp;" "&amp;TEXT(Table8[[#This Row],[Time In HH:MM AM/PM]],"hh:mm")</f>
        <v>1/00/1900  00:00</v>
      </c>
      <c r="L39" t="str">
        <f>TEXT(Table8[[#This Row],[Date of Service]],"m/dd/yyyy ")&amp;" "&amp;TEXT(Table8[[#This Row],[Time Out HH:MM AM/PM]],"hh:mm")</f>
        <v>1/00/1900  00:00</v>
      </c>
      <c r="M39" t="b" cm="1">
        <f t="array" ref="M39">SUMPRODUCT((Table8[[#This Row],[Formula3]]&lt;$L$7:$L$70)*(Table8[[#This Row],[Formula4]]&gt;=$K$7:$K$70))&gt;1</f>
        <v>0</v>
      </c>
      <c r="N39" s="90">
        <f>Table8[[#This Row],[Time Out HH:MM AM/PM]]-Table8[[#This Row],[Time In HH:MM AM/PM]]</f>
        <v>0</v>
      </c>
      <c r="O39" s="91" t="str">
        <f>TEXT(Table8[[#This Row],[Formula 1]],"HH:MM")</f>
        <v>00:00</v>
      </c>
      <c r="P39" s="91" t="str">
        <f>LEFT(Table8[[#This Row],[Formula 2]],SEARCH(":",Table8[[#This Row],[Formula 2]])-1)</f>
        <v>00</v>
      </c>
      <c r="Q39" s="91" t="str">
        <f>RIGHT(Table8[[#This Row],[Formula 2]],SEARCH(":",Table8[[#This Row],[Formula 2]])-1)</f>
        <v>00</v>
      </c>
      <c r="R39" s="91">
        <f>Table8[[#This Row],[Hours]]*60+Table8[[#This Row],[Minutes]]</f>
        <v>0</v>
      </c>
      <c r="S39" s="92" t="str">
        <f>IF(ISBLANK(Table8[[#This Row],[Approved Service Provided]]),"",IF(OR(Table8[[#This Row],[Formula2]]="DAYS",Table8[[#This Row],[Formula2]]="TRIP"),1,ROUNDDOWN((Table8[[#This Row],[Total Minutes]]+7)/15,0)))</f>
        <v/>
      </c>
      <c r="T39" s="93" t="str">
        <f>IFERROR(VLOOKUP(Table8[[#This Row],[Combined]],'Optimax Rates'!D:G,4,FALSE),"")</f>
        <v/>
      </c>
      <c r="U39" s="93" t="str">
        <f>IF(Table8[[#This Row],[Rate]]="","",Table8[[#This Row],[Units]]*Table8[[#This Row],[Rate]])</f>
        <v/>
      </c>
      <c r="V39" s="152"/>
      <c r="W39" s="152"/>
      <c r="X39" s="152"/>
    </row>
    <row r="40" spans="1:25" ht="13.5" hidden="1" thickBot="1" x14ac:dyDescent="0.35">
      <c r="A40" s="19"/>
      <c r="B40" s="16"/>
      <c r="C40" s="70"/>
      <c r="D40" s="1"/>
      <c r="E40" s="2"/>
      <c r="F40" s="2"/>
      <c r="G40" s="94">
        <f t="shared" si="1"/>
        <v>0</v>
      </c>
      <c r="H40" t="str">
        <f>Table8[[#This Row],[Program Code]]&amp;Table8[[#This Row],[Approved Service Provided]]&amp;Table8[[#This Row],[County of Service]]</f>
        <v/>
      </c>
      <c r="I40" t="str">
        <f>IF(Table8[[#This Row],[Waiver]]="State SLS", "8", IF(Table8[[#This Row],[Waiver]]="OBRA", "9", ""))</f>
        <v/>
      </c>
      <c r="J40" t="str">
        <f>IFERROR(VLOOKUP(Table8[[#This Row],[Combined]],'Optimax Rates'!D:E,2,FALSE),"")</f>
        <v/>
      </c>
      <c r="K40" t="str">
        <f>TEXT(Table8[[#This Row],[Date of Service]],"m/dd/yyyy ")&amp;" "&amp;TEXT(Table8[[#This Row],[Time In HH:MM AM/PM]],"hh:mm")</f>
        <v>1/00/1900  00:00</v>
      </c>
      <c r="L40" t="str">
        <f>TEXT(Table8[[#This Row],[Date of Service]],"m/dd/yyyy ")&amp;" "&amp;TEXT(Table8[[#This Row],[Time Out HH:MM AM/PM]],"hh:mm")</f>
        <v>1/00/1900  00:00</v>
      </c>
      <c r="M40" t="b" cm="1">
        <f t="array" ref="M40">SUMPRODUCT((Table8[[#This Row],[Formula3]]&lt;$L$7:$L$70)*(Table8[[#This Row],[Formula4]]&gt;=$K$7:$K$70))&gt;1</f>
        <v>0</v>
      </c>
      <c r="N40" s="90">
        <f>Table8[[#This Row],[Time Out HH:MM AM/PM]]-Table8[[#This Row],[Time In HH:MM AM/PM]]</f>
        <v>0</v>
      </c>
      <c r="O40" s="91" t="str">
        <f>TEXT(Table8[[#This Row],[Formula 1]],"HH:MM")</f>
        <v>00:00</v>
      </c>
      <c r="P40" s="91" t="str">
        <f>LEFT(Table8[[#This Row],[Formula 2]],SEARCH(":",Table8[[#This Row],[Formula 2]])-1)</f>
        <v>00</v>
      </c>
      <c r="Q40" s="91" t="str">
        <f>RIGHT(Table8[[#This Row],[Formula 2]],SEARCH(":",Table8[[#This Row],[Formula 2]])-1)</f>
        <v>00</v>
      </c>
      <c r="R40" s="91">
        <f>Table8[[#This Row],[Hours]]*60+Table8[[#This Row],[Minutes]]</f>
        <v>0</v>
      </c>
      <c r="S40" s="92" t="str">
        <f>IF(ISBLANK(Table8[[#This Row],[Approved Service Provided]]),"",IF(OR(Table8[[#This Row],[Formula2]]="DAYS",Table8[[#This Row],[Formula2]]="TRIP"),1,ROUNDDOWN((Table8[[#This Row],[Total Minutes]]+7)/15,0)))</f>
        <v/>
      </c>
      <c r="T40" s="93" t="str">
        <f>IFERROR(VLOOKUP(Table8[[#This Row],[Combined]],'Optimax Rates'!D:G,4,FALSE),"")</f>
        <v/>
      </c>
      <c r="U40" s="93" t="str">
        <f>IF(Table8[[#This Row],[Rate]]="","",Table8[[#This Row],[Units]]*Table8[[#This Row],[Rate]])</f>
        <v/>
      </c>
      <c r="V40" s="152"/>
      <c r="W40" s="152"/>
      <c r="X40" s="152"/>
    </row>
    <row r="41" spans="1:25" ht="13.5" hidden="1" thickBot="1" x14ac:dyDescent="0.35">
      <c r="A41" s="19"/>
      <c r="B41" s="17"/>
      <c r="C41" s="159"/>
      <c r="D41" s="1"/>
      <c r="E41" s="2"/>
      <c r="F41" s="2"/>
      <c r="G41" s="94">
        <f t="shared" si="1"/>
        <v>0</v>
      </c>
      <c r="H41" t="str">
        <f>Table8[[#This Row],[Program Code]]&amp;Table8[[#This Row],[Approved Service Provided]]&amp;Table8[[#This Row],[County of Service]]</f>
        <v/>
      </c>
      <c r="I41" t="str">
        <f>IF(Table8[[#This Row],[Waiver]]="State SLS", "8", IF(Table8[[#This Row],[Waiver]]="OBRA", "9", ""))</f>
        <v/>
      </c>
      <c r="J41" t="str">
        <f>IFERROR(VLOOKUP(Table8[[#This Row],[Combined]],'Optimax Rates'!D:E,2,FALSE),"")</f>
        <v/>
      </c>
      <c r="K41" t="str">
        <f>TEXT(Table8[[#This Row],[Date of Service]],"m/dd/yyyy ")&amp;" "&amp;TEXT(Table8[[#This Row],[Time In HH:MM AM/PM]],"hh:mm")</f>
        <v>1/00/1900  00:00</v>
      </c>
      <c r="L41" t="str">
        <f>TEXT(Table8[[#This Row],[Date of Service]],"m/dd/yyyy ")&amp;" "&amp;TEXT(Table8[[#This Row],[Time Out HH:MM AM/PM]],"hh:mm")</f>
        <v>1/00/1900  00:00</v>
      </c>
      <c r="M41" t="b" cm="1">
        <f t="array" ref="M41">SUMPRODUCT((Table8[[#This Row],[Formula3]]&lt;$L$7:$L$70)*(Table8[[#This Row],[Formula4]]&gt;=$K$7:$K$70))&gt;1</f>
        <v>0</v>
      </c>
      <c r="N41" s="90">
        <f>Table8[[#This Row],[Time Out HH:MM AM/PM]]-Table8[[#This Row],[Time In HH:MM AM/PM]]</f>
        <v>0</v>
      </c>
      <c r="O41" s="91" t="str">
        <f>TEXT(Table8[[#This Row],[Formula 1]],"HH:MM")</f>
        <v>00:00</v>
      </c>
      <c r="P41" s="91" t="str">
        <f>LEFT(Table8[[#This Row],[Formula 2]],SEARCH(":",Table8[[#This Row],[Formula 2]])-1)</f>
        <v>00</v>
      </c>
      <c r="Q41" s="91" t="str">
        <f>RIGHT(Table8[[#This Row],[Formula 2]],SEARCH(":",Table8[[#This Row],[Formula 2]])-1)</f>
        <v>00</v>
      </c>
      <c r="R41" s="91">
        <f>Table8[[#This Row],[Hours]]*60+Table8[[#This Row],[Minutes]]</f>
        <v>0</v>
      </c>
      <c r="S41" s="92" t="str">
        <f>IF(ISBLANK(Table8[[#This Row],[Approved Service Provided]]),"",IF(OR(Table8[[#This Row],[Formula2]]="DAYS",Table8[[#This Row],[Formula2]]="TRIP"),1,ROUNDDOWN((Table8[[#This Row],[Total Minutes]]+7)/15,0)))</f>
        <v/>
      </c>
      <c r="T41" s="93" t="str">
        <f>IFERROR(VLOOKUP(Table8[[#This Row],[Combined]],'Optimax Rates'!D:G,4,FALSE),"")</f>
        <v/>
      </c>
      <c r="U41" s="93" t="str">
        <f>IF(Table8[[#This Row],[Rate]]="","",Table8[[#This Row],[Units]]*Table8[[#This Row],[Rate]])</f>
        <v/>
      </c>
      <c r="V41" s="152"/>
      <c r="W41" s="152"/>
      <c r="X41" s="152"/>
    </row>
    <row r="42" spans="1:25" ht="13.5" hidden="1" thickBot="1" x14ac:dyDescent="0.35">
      <c r="A42" s="19"/>
      <c r="B42" s="16"/>
      <c r="C42" s="70"/>
      <c r="D42" s="1"/>
      <c r="E42" s="2"/>
      <c r="F42" s="2"/>
      <c r="G42" s="94">
        <f t="shared" si="1"/>
        <v>0</v>
      </c>
      <c r="H42" t="str">
        <f>Table8[[#This Row],[Program Code]]&amp;Table8[[#This Row],[Approved Service Provided]]&amp;Table8[[#This Row],[County of Service]]</f>
        <v/>
      </c>
      <c r="I42" t="str">
        <f>IF(Table8[[#This Row],[Waiver]]="State SLS", "8", IF(Table8[[#This Row],[Waiver]]="OBRA", "9", ""))</f>
        <v/>
      </c>
      <c r="J42" t="str">
        <f>IFERROR(VLOOKUP(Table8[[#This Row],[Combined]],'Optimax Rates'!D:E,2,FALSE),"")</f>
        <v/>
      </c>
      <c r="K42" t="str">
        <f>TEXT(Table8[[#This Row],[Date of Service]],"m/dd/yyyy ")&amp;" "&amp;TEXT(Table8[[#This Row],[Time In HH:MM AM/PM]],"hh:mm")</f>
        <v>1/00/1900  00:00</v>
      </c>
      <c r="L42" t="str">
        <f>TEXT(Table8[[#This Row],[Date of Service]],"m/dd/yyyy ")&amp;" "&amp;TEXT(Table8[[#This Row],[Time Out HH:MM AM/PM]],"hh:mm")</f>
        <v>1/00/1900  00:00</v>
      </c>
      <c r="M42" t="b" cm="1">
        <f t="array" ref="M42">SUMPRODUCT((Table8[[#This Row],[Formula3]]&lt;$L$7:$L$70)*(Table8[[#This Row],[Formula4]]&gt;=$K$7:$K$70))&gt;1</f>
        <v>0</v>
      </c>
      <c r="N42" s="90">
        <f>Table8[[#This Row],[Time Out HH:MM AM/PM]]-Table8[[#This Row],[Time In HH:MM AM/PM]]</f>
        <v>0</v>
      </c>
      <c r="O42" s="91" t="str">
        <f>TEXT(Table8[[#This Row],[Formula 1]],"HH:MM")</f>
        <v>00:00</v>
      </c>
      <c r="P42" s="91" t="str">
        <f>LEFT(Table8[[#This Row],[Formula 2]],SEARCH(":",Table8[[#This Row],[Formula 2]])-1)</f>
        <v>00</v>
      </c>
      <c r="Q42" s="91" t="str">
        <f>RIGHT(Table8[[#This Row],[Formula 2]],SEARCH(":",Table8[[#This Row],[Formula 2]])-1)</f>
        <v>00</v>
      </c>
      <c r="R42" s="91">
        <f>Table8[[#This Row],[Hours]]*60+Table8[[#This Row],[Minutes]]</f>
        <v>0</v>
      </c>
      <c r="S42" s="92" t="str">
        <f>IF(ISBLANK(Table8[[#This Row],[Approved Service Provided]]),"",IF(OR(Table8[[#This Row],[Formula2]]="DAYS",Table8[[#This Row],[Formula2]]="TRIP"),1,ROUNDDOWN((Table8[[#This Row],[Total Minutes]]+7)/15,0)))</f>
        <v/>
      </c>
      <c r="T42" s="93" t="str">
        <f>IFERROR(VLOOKUP(Table8[[#This Row],[Combined]],'Optimax Rates'!D:G,4,FALSE),"")</f>
        <v/>
      </c>
      <c r="U42" s="93" t="str">
        <f>IF(Table8[[#This Row],[Rate]]="","",Table8[[#This Row],[Units]]*Table8[[#This Row],[Rate]])</f>
        <v/>
      </c>
      <c r="V42" s="152"/>
      <c r="W42" s="152"/>
      <c r="X42" s="152"/>
    </row>
    <row r="43" spans="1:25" ht="13.5" hidden="1" thickBot="1" x14ac:dyDescent="0.35">
      <c r="A43" s="19"/>
      <c r="B43" s="16"/>
      <c r="C43" s="70"/>
      <c r="D43" s="1"/>
      <c r="E43" s="2"/>
      <c r="F43" s="2"/>
      <c r="G43" s="94">
        <f t="shared" si="1"/>
        <v>0</v>
      </c>
      <c r="H43" t="str">
        <f>Table8[[#This Row],[Program Code]]&amp;Table8[[#This Row],[Approved Service Provided]]&amp;Table8[[#This Row],[County of Service]]</f>
        <v/>
      </c>
      <c r="I43" t="str">
        <f>IF(Table8[[#This Row],[Waiver]]="State SLS", "8", IF(Table8[[#This Row],[Waiver]]="OBRA", "9", ""))</f>
        <v/>
      </c>
      <c r="J43" t="str">
        <f>IFERROR(VLOOKUP(Table8[[#This Row],[Combined]],'Optimax Rates'!D:E,2,FALSE),"")</f>
        <v/>
      </c>
      <c r="K43" t="str">
        <f>TEXT(Table8[[#This Row],[Date of Service]],"m/dd/yyyy ")&amp;" "&amp;TEXT(Table8[[#This Row],[Time In HH:MM AM/PM]],"hh:mm")</f>
        <v>1/00/1900  00:00</v>
      </c>
      <c r="L43" t="str">
        <f>TEXT(Table8[[#This Row],[Date of Service]],"m/dd/yyyy ")&amp;" "&amp;TEXT(Table8[[#This Row],[Time Out HH:MM AM/PM]],"hh:mm")</f>
        <v>1/00/1900  00:00</v>
      </c>
      <c r="M43" t="b" cm="1">
        <f t="array" ref="M43">SUMPRODUCT((Table8[[#This Row],[Formula3]]&lt;$L$7:$L$70)*(Table8[[#This Row],[Formula4]]&gt;=$K$7:$K$70))&gt;1</f>
        <v>0</v>
      </c>
      <c r="N43" s="90">
        <f>Table8[[#This Row],[Time Out HH:MM AM/PM]]-Table8[[#This Row],[Time In HH:MM AM/PM]]</f>
        <v>0</v>
      </c>
      <c r="O43" s="91" t="str">
        <f>TEXT(Table8[[#This Row],[Formula 1]],"HH:MM")</f>
        <v>00:00</v>
      </c>
      <c r="P43" s="91" t="str">
        <f>LEFT(Table8[[#This Row],[Formula 2]],SEARCH(":",Table8[[#This Row],[Formula 2]])-1)</f>
        <v>00</v>
      </c>
      <c r="Q43" s="91" t="str">
        <f>RIGHT(Table8[[#This Row],[Formula 2]],SEARCH(":",Table8[[#This Row],[Formula 2]])-1)</f>
        <v>00</v>
      </c>
      <c r="R43" s="91">
        <f>Table8[[#This Row],[Hours]]*60+Table8[[#This Row],[Minutes]]</f>
        <v>0</v>
      </c>
      <c r="S43" s="92" t="str">
        <f>IF(ISBLANK(Table8[[#This Row],[Approved Service Provided]]),"",IF(OR(Table8[[#This Row],[Formula2]]="DAYS",Table8[[#This Row],[Formula2]]="TRIP"),1,ROUNDDOWN((Table8[[#This Row],[Total Minutes]]+7)/15,0)))</f>
        <v/>
      </c>
      <c r="T43" s="93" t="str">
        <f>IFERROR(VLOOKUP(Table8[[#This Row],[Combined]],'Optimax Rates'!D:G,4,FALSE),"")</f>
        <v/>
      </c>
      <c r="U43" s="93" t="str">
        <f>IF(Table8[[#This Row],[Rate]]="","",Table8[[#This Row],[Units]]*Table8[[#This Row],[Rate]])</f>
        <v/>
      </c>
      <c r="V43" s="152"/>
      <c r="W43" s="152"/>
      <c r="X43" s="152"/>
    </row>
    <row r="44" spans="1:25" ht="13.5" hidden="1" thickBot="1" x14ac:dyDescent="0.35">
      <c r="A44" s="19"/>
      <c r="B44" s="16"/>
      <c r="C44" s="70"/>
      <c r="D44" s="1"/>
      <c r="E44" s="2"/>
      <c r="F44" s="2"/>
      <c r="G44" s="94">
        <f t="shared" si="1"/>
        <v>0</v>
      </c>
      <c r="H44" t="str">
        <f>Table8[[#This Row],[Program Code]]&amp;Table8[[#This Row],[Approved Service Provided]]&amp;Table8[[#This Row],[County of Service]]</f>
        <v/>
      </c>
      <c r="I44" t="str">
        <f>IF(Table8[[#This Row],[Waiver]]="State SLS", "8", IF(Table8[[#This Row],[Waiver]]="OBRA", "9", ""))</f>
        <v/>
      </c>
      <c r="J44" t="str">
        <f>IFERROR(VLOOKUP(Table8[[#This Row],[Combined]],'Optimax Rates'!D:E,2,FALSE),"")</f>
        <v/>
      </c>
      <c r="K44" t="str">
        <f>TEXT(Table8[[#This Row],[Date of Service]],"m/dd/yyyy ")&amp;" "&amp;TEXT(Table8[[#This Row],[Time In HH:MM AM/PM]],"hh:mm")</f>
        <v>1/00/1900  00:00</v>
      </c>
      <c r="L44" t="str">
        <f>TEXT(Table8[[#This Row],[Date of Service]],"m/dd/yyyy ")&amp;" "&amp;TEXT(Table8[[#This Row],[Time Out HH:MM AM/PM]],"hh:mm")</f>
        <v>1/00/1900  00:00</v>
      </c>
      <c r="M44" t="b" cm="1">
        <f t="array" ref="M44">SUMPRODUCT((Table8[[#This Row],[Formula3]]&lt;$L$7:$L$70)*(Table8[[#This Row],[Formula4]]&gt;=$K$7:$K$70))&gt;1</f>
        <v>0</v>
      </c>
      <c r="N44" s="90">
        <f>Table8[[#This Row],[Time Out HH:MM AM/PM]]-Table8[[#This Row],[Time In HH:MM AM/PM]]</f>
        <v>0</v>
      </c>
      <c r="O44" s="91" t="str">
        <f>TEXT(Table8[[#This Row],[Formula 1]],"HH:MM")</f>
        <v>00:00</v>
      </c>
      <c r="P44" s="91" t="str">
        <f>LEFT(Table8[[#This Row],[Formula 2]],SEARCH(":",Table8[[#This Row],[Formula 2]])-1)</f>
        <v>00</v>
      </c>
      <c r="Q44" s="91" t="str">
        <f>RIGHT(Table8[[#This Row],[Formula 2]],SEARCH(":",Table8[[#This Row],[Formula 2]])-1)</f>
        <v>00</v>
      </c>
      <c r="R44" s="91">
        <f>Table8[[#This Row],[Hours]]*60+Table8[[#This Row],[Minutes]]</f>
        <v>0</v>
      </c>
      <c r="S44" s="92" t="str">
        <f>IF(ISBLANK(Table8[[#This Row],[Approved Service Provided]]),"",IF(OR(Table8[[#This Row],[Formula2]]="DAYS",Table8[[#This Row],[Formula2]]="TRIP"),1,ROUNDDOWN((Table8[[#This Row],[Total Minutes]]+7)/15,0)))</f>
        <v/>
      </c>
      <c r="T44" s="93" t="str">
        <f>IFERROR(VLOOKUP(Table8[[#This Row],[Combined]],'Optimax Rates'!D:G,4,FALSE),"")</f>
        <v/>
      </c>
      <c r="U44" s="93" t="str">
        <f>IF(Table8[[#This Row],[Rate]]="","",Table8[[#This Row],[Units]]*Table8[[#This Row],[Rate]])</f>
        <v/>
      </c>
      <c r="V44" s="152"/>
      <c r="W44" s="152"/>
      <c r="X44" s="152"/>
    </row>
    <row r="45" spans="1:25" ht="13.5" hidden="1" thickBot="1" x14ac:dyDescent="0.35">
      <c r="A45" s="19"/>
      <c r="B45" s="16"/>
      <c r="C45" s="70"/>
      <c r="D45" s="1"/>
      <c r="E45" s="2"/>
      <c r="F45" s="2"/>
      <c r="G45" s="94">
        <f t="shared" si="1"/>
        <v>0</v>
      </c>
      <c r="H45" t="str">
        <f>Table8[[#This Row],[Program Code]]&amp;Table8[[#This Row],[Approved Service Provided]]&amp;Table8[[#This Row],[County of Service]]</f>
        <v/>
      </c>
      <c r="I45" t="str">
        <f>IF(Table8[[#This Row],[Waiver]]="State SLS", "8", IF(Table8[[#This Row],[Waiver]]="OBRA", "9", ""))</f>
        <v/>
      </c>
      <c r="J45" t="str">
        <f>IFERROR(VLOOKUP(Table8[[#This Row],[Combined]],'Optimax Rates'!D:E,2,FALSE),"")</f>
        <v/>
      </c>
      <c r="K45" t="str">
        <f>TEXT(Table8[[#This Row],[Date of Service]],"m/dd/yyyy ")&amp;" "&amp;TEXT(Table8[[#This Row],[Time In HH:MM AM/PM]],"hh:mm")</f>
        <v>1/00/1900  00:00</v>
      </c>
      <c r="L45" t="str">
        <f>TEXT(Table8[[#This Row],[Date of Service]],"m/dd/yyyy ")&amp;" "&amp;TEXT(Table8[[#This Row],[Time Out HH:MM AM/PM]],"hh:mm")</f>
        <v>1/00/1900  00:00</v>
      </c>
      <c r="M45" t="b" cm="1">
        <f t="array" ref="M45">SUMPRODUCT((Table8[[#This Row],[Formula3]]&lt;$L$7:$L$70)*(Table8[[#This Row],[Formula4]]&gt;=$K$7:$K$70))&gt;1</f>
        <v>0</v>
      </c>
      <c r="N45" s="90">
        <f>Table8[[#This Row],[Time Out HH:MM AM/PM]]-Table8[[#This Row],[Time In HH:MM AM/PM]]</f>
        <v>0</v>
      </c>
      <c r="O45" s="91" t="str">
        <f>TEXT(Table8[[#This Row],[Formula 1]],"HH:MM")</f>
        <v>00:00</v>
      </c>
      <c r="P45" s="91" t="str">
        <f>LEFT(Table8[[#This Row],[Formula 2]],SEARCH(":",Table8[[#This Row],[Formula 2]])-1)</f>
        <v>00</v>
      </c>
      <c r="Q45" s="91" t="str">
        <f>RIGHT(Table8[[#This Row],[Formula 2]],SEARCH(":",Table8[[#This Row],[Formula 2]])-1)</f>
        <v>00</v>
      </c>
      <c r="R45" s="91">
        <f>Table8[[#This Row],[Hours]]*60+Table8[[#This Row],[Minutes]]</f>
        <v>0</v>
      </c>
      <c r="S45" s="92" t="str">
        <f>IF(ISBLANK(Table8[[#This Row],[Approved Service Provided]]),"",IF(OR(Table8[[#This Row],[Formula2]]="DAYS",Table8[[#This Row],[Formula2]]="TRIP"),1,ROUNDDOWN((Table8[[#This Row],[Total Minutes]]+7)/15,0)))</f>
        <v/>
      </c>
      <c r="T45" s="93" t="str">
        <f>IFERROR(VLOOKUP(Table8[[#This Row],[Combined]],'Optimax Rates'!D:G,4,FALSE),"")</f>
        <v/>
      </c>
      <c r="U45" s="93" t="str">
        <f>IF(Table8[[#This Row],[Rate]]="","",Table8[[#This Row],[Units]]*Table8[[#This Row],[Rate]])</f>
        <v/>
      </c>
      <c r="V45" s="152"/>
      <c r="W45" s="152"/>
      <c r="X45" s="152"/>
    </row>
    <row r="46" spans="1:25" ht="13.5" hidden="1" thickBot="1" x14ac:dyDescent="0.35">
      <c r="A46" s="19"/>
      <c r="B46" s="16"/>
      <c r="C46" s="70"/>
      <c r="D46" s="1"/>
      <c r="E46" s="2"/>
      <c r="F46" s="2"/>
      <c r="G46" s="94">
        <f t="shared" si="1"/>
        <v>0</v>
      </c>
      <c r="H46" t="str">
        <f>Table8[[#This Row],[Program Code]]&amp;Table8[[#This Row],[Approved Service Provided]]&amp;Table8[[#This Row],[County of Service]]</f>
        <v/>
      </c>
      <c r="I46" t="str">
        <f>IF(Table8[[#This Row],[Waiver]]="State SLS", "8", IF(Table8[[#This Row],[Waiver]]="OBRA", "9", ""))</f>
        <v/>
      </c>
      <c r="J46" t="str">
        <f>IFERROR(VLOOKUP(Table8[[#This Row],[Combined]],'Optimax Rates'!D:E,2,FALSE),"")</f>
        <v/>
      </c>
      <c r="K46" t="str">
        <f>TEXT(Table8[[#This Row],[Date of Service]],"m/dd/yyyy ")&amp;" "&amp;TEXT(Table8[[#This Row],[Time In HH:MM AM/PM]],"hh:mm")</f>
        <v>1/00/1900  00:00</v>
      </c>
      <c r="L46" t="str">
        <f>TEXT(Table8[[#This Row],[Date of Service]],"m/dd/yyyy ")&amp;" "&amp;TEXT(Table8[[#This Row],[Time Out HH:MM AM/PM]],"hh:mm")</f>
        <v>1/00/1900  00:00</v>
      </c>
      <c r="M46" t="b" cm="1">
        <f t="array" ref="M46">SUMPRODUCT((Table8[[#This Row],[Formula3]]&lt;$L$7:$L$70)*(Table8[[#This Row],[Formula4]]&gt;=$K$7:$K$70))&gt;1</f>
        <v>0</v>
      </c>
      <c r="N46" s="90">
        <f>Table8[[#This Row],[Time Out HH:MM AM/PM]]-Table8[[#This Row],[Time In HH:MM AM/PM]]</f>
        <v>0</v>
      </c>
      <c r="O46" s="91" t="str">
        <f>TEXT(Table8[[#This Row],[Formula 1]],"HH:MM")</f>
        <v>00:00</v>
      </c>
      <c r="P46" s="91" t="str">
        <f>LEFT(Table8[[#This Row],[Formula 2]],SEARCH(":",Table8[[#This Row],[Formula 2]])-1)</f>
        <v>00</v>
      </c>
      <c r="Q46" s="91" t="str">
        <f>RIGHT(Table8[[#This Row],[Formula 2]],SEARCH(":",Table8[[#This Row],[Formula 2]])-1)</f>
        <v>00</v>
      </c>
      <c r="R46" s="91">
        <f>Table8[[#This Row],[Hours]]*60+Table8[[#This Row],[Minutes]]</f>
        <v>0</v>
      </c>
      <c r="S46" s="92" t="str">
        <f>IF(ISBLANK(Table8[[#This Row],[Approved Service Provided]]),"",IF(OR(Table8[[#This Row],[Formula2]]="DAYS",Table8[[#This Row],[Formula2]]="TRIP"),1,ROUNDDOWN((Table8[[#This Row],[Total Minutes]]+7)/15,0)))</f>
        <v/>
      </c>
      <c r="T46" s="93" t="str">
        <f>IFERROR(VLOOKUP(Table8[[#This Row],[Combined]],'Optimax Rates'!D:G,4,FALSE),"")</f>
        <v/>
      </c>
      <c r="U46" s="93" t="str">
        <f>IF(Table8[[#This Row],[Rate]]="","",Table8[[#This Row],[Units]]*Table8[[#This Row],[Rate]])</f>
        <v/>
      </c>
      <c r="V46" s="152"/>
      <c r="W46" s="152"/>
      <c r="X46" s="152"/>
    </row>
    <row r="47" spans="1:25" ht="13.5" hidden="1" thickBot="1" x14ac:dyDescent="0.35">
      <c r="A47" s="19"/>
      <c r="B47" s="16"/>
      <c r="C47" s="70"/>
      <c r="D47" s="1"/>
      <c r="E47" s="2"/>
      <c r="F47" s="2"/>
      <c r="G47" s="94">
        <f t="shared" si="1"/>
        <v>0</v>
      </c>
      <c r="H47" t="str">
        <f>Table8[[#This Row],[Program Code]]&amp;Table8[[#This Row],[Approved Service Provided]]&amp;Table8[[#This Row],[County of Service]]</f>
        <v/>
      </c>
      <c r="I47" t="str">
        <f>IF(Table8[[#This Row],[Waiver]]="State SLS", "8", IF(Table8[[#This Row],[Waiver]]="OBRA", "9", ""))</f>
        <v/>
      </c>
      <c r="J47" t="str">
        <f>IFERROR(VLOOKUP(Table8[[#This Row],[Combined]],'Optimax Rates'!D:E,2,FALSE),"")</f>
        <v/>
      </c>
      <c r="K47" t="str">
        <f>TEXT(Table8[[#This Row],[Date of Service]],"m/dd/yyyy ")&amp;" "&amp;TEXT(Table8[[#This Row],[Time In HH:MM AM/PM]],"hh:mm")</f>
        <v>1/00/1900  00:00</v>
      </c>
      <c r="L47" t="str">
        <f>TEXT(Table8[[#This Row],[Date of Service]],"m/dd/yyyy ")&amp;" "&amp;TEXT(Table8[[#This Row],[Time Out HH:MM AM/PM]],"hh:mm")</f>
        <v>1/00/1900  00:00</v>
      </c>
      <c r="M47" t="b" cm="1">
        <f t="array" ref="M47">SUMPRODUCT((Table8[[#This Row],[Formula3]]&lt;$L$7:$L$70)*(Table8[[#This Row],[Formula4]]&gt;=$K$7:$K$70))&gt;1</f>
        <v>0</v>
      </c>
      <c r="N47" s="90">
        <f>Table8[[#This Row],[Time Out HH:MM AM/PM]]-Table8[[#This Row],[Time In HH:MM AM/PM]]</f>
        <v>0</v>
      </c>
      <c r="O47" s="91" t="str">
        <f>TEXT(Table8[[#This Row],[Formula 1]],"HH:MM")</f>
        <v>00:00</v>
      </c>
      <c r="P47" s="91" t="str">
        <f>LEFT(Table8[[#This Row],[Formula 2]],SEARCH(":",Table8[[#This Row],[Formula 2]])-1)</f>
        <v>00</v>
      </c>
      <c r="Q47" s="91" t="str">
        <f>RIGHT(Table8[[#This Row],[Formula 2]],SEARCH(":",Table8[[#This Row],[Formula 2]])-1)</f>
        <v>00</v>
      </c>
      <c r="R47" s="91">
        <f>Table8[[#This Row],[Hours]]*60+Table8[[#This Row],[Minutes]]</f>
        <v>0</v>
      </c>
      <c r="S47" s="92" t="str">
        <f>IF(ISBLANK(Table8[[#This Row],[Approved Service Provided]]),"",IF(OR(Table8[[#This Row],[Formula2]]="DAYS",Table8[[#This Row],[Formula2]]="TRIP"),1,ROUNDDOWN((Table8[[#This Row],[Total Minutes]]+7)/15,0)))</f>
        <v/>
      </c>
      <c r="T47" s="93" t="str">
        <f>IFERROR(VLOOKUP(Table8[[#This Row],[Combined]],'Optimax Rates'!D:G,4,FALSE),"")</f>
        <v/>
      </c>
      <c r="U47" s="93" t="str">
        <f>IF(Table8[[#This Row],[Rate]]="","",Table8[[#This Row],[Units]]*Table8[[#This Row],[Rate]])</f>
        <v/>
      </c>
      <c r="V47" s="152"/>
      <c r="W47" s="152"/>
      <c r="X47" s="152"/>
    </row>
    <row r="48" spans="1:25" ht="13.5" hidden="1" thickBot="1" x14ac:dyDescent="0.35">
      <c r="A48" s="19"/>
      <c r="B48" s="16"/>
      <c r="C48" s="70"/>
      <c r="D48" s="1"/>
      <c r="E48" s="2"/>
      <c r="F48" s="2"/>
      <c r="G48" s="94">
        <f t="shared" si="1"/>
        <v>0</v>
      </c>
      <c r="H48" t="str">
        <f>Table8[[#This Row],[Program Code]]&amp;Table8[[#This Row],[Approved Service Provided]]&amp;Table8[[#This Row],[County of Service]]</f>
        <v/>
      </c>
      <c r="I48" t="str">
        <f>IF(Table8[[#This Row],[Waiver]]="State SLS", "8", IF(Table8[[#This Row],[Waiver]]="OBRA", "9", ""))</f>
        <v/>
      </c>
      <c r="J48" t="str">
        <f>IFERROR(VLOOKUP(Table8[[#This Row],[Combined]],'Optimax Rates'!D:E,2,FALSE),"")</f>
        <v/>
      </c>
      <c r="K48" t="str">
        <f>TEXT(Table8[[#This Row],[Date of Service]],"m/dd/yyyy ")&amp;" "&amp;TEXT(Table8[[#This Row],[Time In HH:MM AM/PM]],"hh:mm")</f>
        <v>1/00/1900  00:00</v>
      </c>
      <c r="L48" t="str">
        <f>TEXT(Table8[[#This Row],[Date of Service]],"m/dd/yyyy ")&amp;" "&amp;TEXT(Table8[[#This Row],[Time Out HH:MM AM/PM]],"hh:mm")</f>
        <v>1/00/1900  00:00</v>
      </c>
      <c r="M48" t="b" cm="1">
        <f t="array" ref="M48">SUMPRODUCT((Table8[[#This Row],[Formula3]]&lt;$L$7:$L$70)*(Table8[[#This Row],[Formula4]]&gt;=$K$7:$K$70))&gt;1</f>
        <v>0</v>
      </c>
      <c r="N48" s="90">
        <f>Table8[[#This Row],[Time Out HH:MM AM/PM]]-Table8[[#This Row],[Time In HH:MM AM/PM]]</f>
        <v>0</v>
      </c>
      <c r="O48" s="91" t="str">
        <f>TEXT(Table8[[#This Row],[Formula 1]],"HH:MM")</f>
        <v>00:00</v>
      </c>
      <c r="P48" s="91" t="str">
        <f>LEFT(Table8[[#This Row],[Formula 2]],SEARCH(":",Table8[[#This Row],[Formula 2]])-1)</f>
        <v>00</v>
      </c>
      <c r="Q48" s="91" t="str">
        <f>RIGHT(Table8[[#This Row],[Formula 2]],SEARCH(":",Table8[[#This Row],[Formula 2]])-1)</f>
        <v>00</v>
      </c>
      <c r="R48" s="91">
        <f>Table8[[#This Row],[Hours]]*60+Table8[[#This Row],[Minutes]]</f>
        <v>0</v>
      </c>
      <c r="S48" s="92" t="str">
        <f>IF(ISBLANK(Table8[[#This Row],[Approved Service Provided]]),"",IF(OR(Table8[[#This Row],[Formula2]]="DAYS",Table8[[#This Row],[Formula2]]="TRIP"),1,ROUNDDOWN((Table8[[#This Row],[Total Minutes]]+7)/15,0)))</f>
        <v/>
      </c>
      <c r="T48" s="93" t="str">
        <f>IFERROR(VLOOKUP(Table8[[#This Row],[Combined]],'Optimax Rates'!D:G,4,FALSE),"")</f>
        <v/>
      </c>
      <c r="U48" s="93" t="str">
        <f>IF(Table8[[#This Row],[Rate]]="","",Table8[[#This Row],[Units]]*Table8[[#This Row],[Rate]])</f>
        <v/>
      </c>
      <c r="V48" s="152"/>
      <c r="W48" s="152"/>
      <c r="X48" s="152"/>
    </row>
    <row r="49" spans="1:24" ht="13.5" hidden="1" thickBot="1" x14ac:dyDescent="0.35">
      <c r="A49" s="19"/>
      <c r="B49" s="16"/>
      <c r="C49" s="70"/>
      <c r="D49" s="1"/>
      <c r="E49" s="2"/>
      <c r="F49" s="2"/>
      <c r="G49" s="94">
        <f t="shared" si="1"/>
        <v>0</v>
      </c>
      <c r="H49" t="str">
        <f>Table8[[#This Row],[Program Code]]&amp;Table8[[#This Row],[Approved Service Provided]]&amp;Table8[[#This Row],[County of Service]]</f>
        <v/>
      </c>
      <c r="I49" t="str">
        <f>IF(Table8[[#This Row],[Waiver]]="State SLS", "8", IF(Table8[[#This Row],[Waiver]]="OBRA", "9", ""))</f>
        <v/>
      </c>
      <c r="J49" t="str">
        <f>IFERROR(VLOOKUP(Table8[[#This Row],[Combined]],'Optimax Rates'!D:E,2,FALSE),"")</f>
        <v/>
      </c>
      <c r="K49" t="str">
        <f>TEXT(Table8[[#This Row],[Date of Service]],"m/dd/yyyy ")&amp;" "&amp;TEXT(Table8[[#This Row],[Time In HH:MM AM/PM]],"hh:mm")</f>
        <v>1/00/1900  00:00</v>
      </c>
      <c r="L49" t="str">
        <f>TEXT(Table8[[#This Row],[Date of Service]],"m/dd/yyyy ")&amp;" "&amp;TEXT(Table8[[#This Row],[Time Out HH:MM AM/PM]],"hh:mm")</f>
        <v>1/00/1900  00:00</v>
      </c>
      <c r="M49" t="b" cm="1">
        <f t="array" ref="M49">SUMPRODUCT((Table8[[#This Row],[Formula3]]&lt;$L$7:$L$70)*(Table8[[#This Row],[Formula4]]&gt;=$K$7:$K$70))&gt;1</f>
        <v>0</v>
      </c>
      <c r="N49" s="90">
        <f>Table8[[#This Row],[Time Out HH:MM AM/PM]]-Table8[[#This Row],[Time In HH:MM AM/PM]]</f>
        <v>0</v>
      </c>
      <c r="O49" s="91" t="str">
        <f>TEXT(Table8[[#This Row],[Formula 1]],"HH:MM")</f>
        <v>00:00</v>
      </c>
      <c r="P49" s="91" t="str">
        <f>LEFT(Table8[[#This Row],[Formula 2]],SEARCH(":",Table8[[#This Row],[Formula 2]])-1)</f>
        <v>00</v>
      </c>
      <c r="Q49" s="91" t="str">
        <f>RIGHT(Table8[[#This Row],[Formula 2]],SEARCH(":",Table8[[#This Row],[Formula 2]])-1)</f>
        <v>00</v>
      </c>
      <c r="R49" s="91">
        <f>Table8[[#This Row],[Hours]]*60+Table8[[#This Row],[Minutes]]</f>
        <v>0</v>
      </c>
      <c r="S49" s="92" t="str">
        <f>IF(ISBLANK(Table8[[#This Row],[Approved Service Provided]]),"",IF(OR(Table8[[#This Row],[Formula2]]="DAYS",Table8[[#This Row],[Formula2]]="TRIP"),1,ROUNDDOWN((Table8[[#This Row],[Total Minutes]]+7)/15,0)))</f>
        <v/>
      </c>
      <c r="T49" s="93" t="str">
        <f>IFERROR(VLOOKUP(Table8[[#This Row],[Combined]],'Optimax Rates'!D:G,4,FALSE),"")</f>
        <v/>
      </c>
      <c r="U49" s="93" t="str">
        <f>IF(Table8[[#This Row],[Rate]]="","",Table8[[#This Row],[Units]]*Table8[[#This Row],[Rate]])</f>
        <v/>
      </c>
      <c r="V49" s="152"/>
      <c r="W49" s="152"/>
      <c r="X49" s="152"/>
    </row>
    <row r="50" spans="1:24" ht="13.5" hidden="1" thickBot="1" x14ac:dyDescent="0.35">
      <c r="A50" s="19"/>
      <c r="B50" s="16"/>
      <c r="C50" s="70"/>
      <c r="D50" s="1"/>
      <c r="E50" s="2"/>
      <c r="F50" s="2"/>
      <c r="G50" s="94">
        <f t="shared" si="1"/>
        <v>0</v>
      </c>
      <c r="H50" t="str">
        <f>Table8[[#This Row],[Program Code]]&amp;Table8[[#This Row],[Approved Service Provided]]&amp;Table8[[#This Row],[County of Service]]</f>
        <v/>
      </c>
      <c r="I50" t="str">
        <f>IF(Table8[[#This Row],[Waiver]]="State SLS", "8", IF(Table8[[#This Row],[Waiver]]="OBRA", "9", ""))</f>
        <v/>
      </c>
      <c r="J50" t="str">
        <f>IFERROR(VLOOKUP(Table8[[#This Row],[Combined]],'Optimax Rates'!D:E,2,FALSE),"")</f>
        <v/>
      </c>
      <c r="K50" t="str">
        <f>TEXT(Table8[[#This Row],[Date of Service]],"m/dd/yyyy ")&amp;" "&amp;TEXT(Table8[[#This Row],[Time In HH:MM AM/PM]],"hh:mm")</f>
        <v>1/00/1900  00:00</v>
      </c>
      <c r="L50" t="str">
        <f>TEXT(Table8[[#This Row],[Date of Service]],"m/dd/yyyy ")&amp;" "&amp;TEXT(Table8[[#This Row],[Time Out HH:MM AM/PM]],"hh:mm")</f>
        <v>1/00/1900  00:00</v>
      </c>
      <c r="M50" t="b" cm="1">
        <f t="array" ref="M50">SUMPRODUCT((Table8[[#This Row],[Formula3]]&lt;$L$7:$L$70)*(Table8[[#This Row],[Formula4]]&gt;=$K$7:$K$70))&gt;1</f>
        <v>0</v>
      </c>
      <c r="N50" s="90">
        <f>Table8[[#This Row],[Time Out HH:MM AM/PM]]-Table8[[#This Row],[Time In HH:MM AM/PM]]</f>
        <v>0</v>
      </c>
      <c r="O50" s="91" t="str">
        <f>TEXT(Table8[[#This Row],[Formula 1]],"HH:MM")</f>
        <v>00:00</v>
      </c>
      <c r="P50" s="91" t="str">
        <f>LEFT(Table8[[#This Row],[Formula 2]],SEARCH(":",Table8[[#This Row],[Formula 2]])-1)</f>
        <v>00</v>
      </c>
      <c r="Q50" s="91" t="str">
        <f>RIGHT(Table8[[#This Row],[Formula 2]],SEARCH(":",Table8[[#This Row],[Formula 2]])-1)</f>
        <v>00</v>
      </c>
      <c r="R50" s="91">
        <f>Table8[[#This Row],[Hours]]*60+Table8[[#This Row],[Minutes]]</f>
        <v>0</v>
      </c>
      <c r="S50" s="92" t="str">
        <f>IF(ISBLANK(Table8[[#This Row],[Approved Service Provided]]),"",IF(OR(Table8[[#This Row],[Formula2]]="DAYS",Table8[[#This Row],[Formula2]]="TRIP"),1,ROUNDDOWN((Table8[[#This Row],[Total Minutes]]+7)/15,0)))</f>
        <v/>
      </c>
      <c r="T50" s="93" t="str">
        <f>IFERROR(VLOOKUP(Table8[[#This Row],[Combined]],'Optimax Rates'!D:G,4,FALSE),"")</f>
        <v/>
      </c>
      <c r="U50" s="93" t="str">
        <f>IF(Table8[[#This Row],[Rate]]="","",Table8[[#This Row],[Units]]*Table8[[#This Row],[Rate]])</f>
        <v/>
      </c>
      <c r="V50" s="152"/>
      <c r="W50" s="152"/>
      <c r="X50" s="152"/>
    </row>
    <row r="51" spans="1:24" ht="13.5" hidden="1" thickBot="1" x14ac:dyDescent="0.35">
      <c r="A51" s="19"/>
      <c r="B51" s="16"/>
      <c r="C51" s="70"/>
      <c r="D51" s="1"/>
      <c r="E51" s="2"/>
      <c r="F51" s="2"/>
      <c r="G51" s="94">
        <f t="shared" si="1"/>
        <v>0</v>
      </c>
      <c r="H51" t="str">
        <f>Table8[[#This Row],[Program Code]]&amp;Table8[[#This Row],[Approved Service Provided]]&amp;Table8[[#This Row],[County of Service]]</f>
        <v/>
      </c>
      <c r="I51" t="str">
        <f>IF(Table8[[#This Row],[Waiver]]="State SLS", "8", IF(Table8[[#This Row],[Waiver]]="OBRA", "9", ""))</f>
        <v/>
      </c>
      <c r="J51" t="str">
        <f>IFERROR(VLOOKUP(Table8[[#This Row],[Combined]],'Optimax Rates'!D:E,2,FALSE),"")</f>
        <v/>
      </c>
      <c r="K51" t="str">
        <f>TEXT(Table8[[#This Row],[Date of Service]],"m/dd/yyyy ")&amp;" "&amp;TEXT(Table8[[#This Row],[Time In HH:MM AM/PM]],"hh:mm")</f>
        <v>1/00/1900  00:00</v>
      </c>
      <c r="L51" t="str">
        <f>TEXT(Table8[[#This Row],[Date of Service]],"m/dd/yyyy ")&amp;" "&amp;TEXT(Table8[[#This Row],[Time Out HH:MM AM/PM]],"hh:mm")</f>
        <v>1/00/1900  00:00</v>
      </c>
      <c r="M51" t="b" cm="1">
        <f t="array" ref="M51">SUMPRODUCT((Table8[[#This Row],[Formula3]]&lt;$L$7:$L$70)*(Table8[[#This Row],[Formula4]]&gt;=$K$7:$K$70))&gt;1</f>
        <v>0</v>
      </c>
      <c r="N51" s="90">
        <f>Table8[[#This Row],[Time Out HH:MM AM/PM]]-Table8[[#This Row],[Time In HH:MM AM/PM]]</f>
        <v>0</v>
      </c>
      <c r="O51" s="91" t="str">
        <f>TEXT(Table8[[#This Row],[Formula 1]],"HH:MM")</f>
        <v>00:00</v>
      </c>
      <c r="P51" s="91" t="str">
        <f>LEFT(Table8[[#This Row],[Formula 2]],SEARCH(":",Table8[[#This Row],[Formula 2]])-1)</f>
        <v>00</v>
      </c>
      <c r="Q51" s="91" t="str">
        <f>RIGHT(Table8[[#This Row],[Formula 2]],SEARCH(":",Table8[[#This Row],[Formula 2]])-1)</f>
        <v>00</v>
      </c>
      <c r="R51" s="91">
        <f>Table8[[#This Row],[Hours]]*60+Table8[[#This Row],[Minutes]]</f>
        <v>0</v>
      </c>
      <c r="S51" s="92" t="str">
        <f>IF(ISBLANK(Table8[[#This Row],[Approved Service Provided]]),"",IF(OR(Table8[[#This Row],[Formula2]]="DAYS",Table8[[#This Row],[Formula2]]="TRIP"),1,ROUNDDOWN((Table8[[#This Row],[Total Minutes]]+7)/15,0)))</f>
        <v/>
      </c>
      <c r="T51" s="93" t="str">
        <f>IFERROR(VLOOKUP(Table8[[#This Row],[Combined]],'Optimax Rates'!D:G,4,FALSE),"")</f>
        <v/>
      </c>
      <c r="U51" s="93" t="str">
        <f>IF(Table8[[#This Row],[Rate]]="","",Table8[[#This Row],[Units]]*Table8[[#This Row],[Rate]])</f>
        <v/>
      </c>
      <c r="V51" s="152"/>
      <c r="W51" s="152"/>
      <c r="X51" s="152"/>
    </row>
    <row r="52" spans="1:24" ht="13.5" hidden="1" thickBot="1" x14ac:dyDescent="0.35">
      <c r="A52" s="19"/>
      <c r="B52" s="16"/>
      <c r="C52" s="70"/>
      <c r="D52" s="1"/>
      <c r="E52" s="2"/>
      <c r="F52" s="2"/>
      <c r="G52" s="94">
        <f t="shared" si="1"/>
        <v>0</v>
      </c>
      <c r="H52" t="str">
        <f>Table8[[#This Row],[Program Code]]&amp;Table8[[#This Row],[Approved Service Provided]]&amp;Table8[[#This Row],[County of Service]]</f>
        <v/>
      </c>
      <c r="I52" t="str">
        <f>IF(Table8[[#This Row],[Waiver]]="State SLS", "8", IF(Table8[[#This Row],[Waiver]]="OBRA", "9", ""))</f>
        <v/>
      </c>
      <c r="J52" t="str">
        <f>IFERROR(VLOOKUP(Table8[[#This Row],[Combined]],'Optimax Rates'!D:E,2,FALSE),"")</f>
        <v/>
      </c>
      <c r="K52" t="str">
        <f>TEXT(Table8[[#This Row],[Date of Service]],"m/dd/yyyy ")&amp;" "&amp;TEXT(Table8[[#This Row],[Time In HH:MM AM/PM]],"hh:mm")</f>
        <v>1/00/1900  00:00</v>
      </c>
      <c r="L52" t="str">
        <f>TEXT(Table8[[#This Row],[Date of Service]],"m/dd/yyyy ")&amp;" "&amp;TEXT(Table8[[#This Row],[Time Out HH:MM AM/PM]],"hh:mm")</f>
        <v>1/00/1900  00:00</v>
      </c>
      <c r="M52" t="b" cm="1">
        <f t="array" ref="M52">SUMPRODUCT((Table8[[#This Row],[Formula3]]&lt;$L$7:$L$70)*(Table8[[#This Row],[Formula4]]&gt;=$K$7:$K$70))&gt;1</f>
        <v>0</v>
      </c>
      <c r="N52" s="90">
        <f>Table8[[#This Row],[Time Out HH:MM AM/PM]]-Table8[[#This Row],[Time In HH:MM AM/PM]]</f>
        <v>0</v>
      </c>
      <c r="O52" s="91" t="str">
        <f>TEXT(Table8[[#This Row],[Formula 1]],"HH:MM")</f>
        <v>00:00</v>
      </c>
      <c r="P52" s="91" t="str">
        <f>LEFT(Table8[[#This Row],[Formula 2]],SEARCH(":",Table8[[#This Row],[Formula 2]])-1)</f>
        <v>00</v>
      </c>
      <c r="Q52" s="91" t="str">
        <f>RIGHT(Table8[[#This Row],[Formula 2]],SEARCH(":",Table8[[#This Row],[Formula 2]])-1)</f>
        <v>00</v>
      </c>
      <c r="R52" s="91">
        <f>Table8[[#This Row],[Hours]]*60+Table8[[#This Row],[Minutes]]</f>
        <v>0</v>
      </c>
      <c r="S52" s="92" t="str">
        <f>IF(ISBLANK(Table8[[#This Row],[Approved Service Provided]]),"",IF(OR(Table8[[#This Row],[Formula2]]="DAYS",Table8[[#This Row],[Formula2]]="TRIP"),1,ROUNDDOWN((Table8[[#This Row],[Total Minutes]]+7)/15,0)))</f>
        <v/>
      </c>
      <c r="T52" s="93" t="str">
        <f>IFERROR(VLOOKUP(Table8[[#This Row],[Combined]],'Optimax Rates'!D:G,4,FALSE),"")</f>
        <v/>
      </c>
      <c r="U52" s="93" t="str">
        <f>IF(Table8[[#This Row],[Rate]]="","",Table8[[#This Row],[Units]]*Table8[[#This Row],[Rate]])</f>
        <v/>
      </c>
      <c r="V52" s="152"/>
      <c r="W52" s="152"/>
      <c r="X52" s="152"/>
    </row>
    <row r="53" spans="1:24" ht="13.5" hidden="1" thickBot="1" x14ac:dyDescent="0.35">
      <c r="A53" s="57"/>
      <c r="B53" s="61"/>
      <c r="C53" s="155"/>
      <c r="D53" s="62"/>
      <c r="E53" s="63"/>
      <c r="F53" s="63"/>
      <c r="G53" s="94">
        <f t="shared" si="1"/>
        <v>0</v>
      </c>
      <c r="H53" t="str">
        <f>Table8[[#This Row],[Program Code]]&amp;Table8[[#This Row],[Approved Service Provided]]&amp;Table8[[#This Row],[County of Service]]</f>
        <v/>
      </c>
      <c r="I53" t="str">
        <f>IF(Table8[[#This Row],[Waiver]]="State SLS", "8", IF(Table8[[#This Row],[Waiver]]="OBRA", "9", ""))</f>
        <v/>
      </c>
      <c r="J53" t="str">
        <f>IFERROR(VLOOKUP(Table8[[#This Row],[Combined]],'Optimax Rates'!D:E,2,FALSE),"")</f>
        <v/>
      </c>
      <c r="K53" t="str">
        <f>TEXT(Table8[[#This Row],[Date of Service]],"m/dd/yyyy ")&amp;" "&amp;TEXT(Table8[[#This Row],[Time In HH:MM AM/PM]],"hh:mm")</f>
        <v>1/00/1900  00:00</v>
      </c>
      <c r="L53" t="str">
        <f>TEXT(Table8[[#This Row],[Date of Service]],"m/dd/yyyy ")&amp;" "&amp;TEXT(Table8[[#This Row],[Time Out HH:MM AM/PM]],"hh:mm")</f>
        <v>1/00/1900  00:00</v>
      </c>
      <c r="M53" t="b" cm="1">
        <f t="array" ref="M53">SUMPRODUCT((Table8[[#This Row],[Formula3]]&lt;$L$7:$L$70)*(Table8[[#This Row],[Formula4]]&gt;=$K$7:$K$70))&gt;1</f>
        <v>0</v>
      </c>
      <c r="N53" s="90">
        <f>Table8[[#This Row],[Time Out HH:MM AM/PM]]-Table8[[#This Row],[Time In HH:MM AM/PM]]</f>
        <v>0</v>
      </c>
      <c r="O53" s="91" t="str">
        <f>TEXT(Table8[[#This Row],[Formula 1]],"HH:MM")</f>
        <v>00:00</v>
      </c>
      <c r="P53" s="91" t="str">
        <f>LEFT(Table8[[#This Row],[Formula 2]],SEARCH(":",Table8[[#This Row],[Formula 2]])-1)</f>
        <v>00</v>
      </c>
      <c r="Q53" s="91" t="str">
        <f>RIGHT(Table8[[#This Row],[Formula 2]],SEARCH(":",Table8[[#This Row],[Formula 2]])-1)</f>
        <v>00</v>
      </c>
      <c r="R53" s="91">
        <f>Table8[[#This Row],[Hours]]*60+Table8[[#This Row],[Minutes]]</f>
        <v>0</v>
      </c>
      <c r="S53" s="92" t="str">
        <f>IF(ISBLANK(Table8[[#This Row],[Approved Service Provided]]),"",IF(OR(Table8[[#This Row],[Formula2]]="DAYS",Table8[[#This Row],[Formula2]]="TRIP"),1,ROUNDDOWN((Table8[[#This Row],[Total Minutes]]+7)/15,0)))</f>
        <v/>
      </c>
      <c r="T53" s="93" t="str">
        <f>IFERROR(VLOOKUP(Table8[[#This Row],[Combined]],'Optimax Rates'!D:G,4,FALSE),"")</f>
        <v/>
      </c>
      <c r="U53" s="93" t="str">
        <f>IF(Table8[[#This Row],[Rate]]="","",Table8[[#This Row],[Units]]*Table8[[#This Row],[Rate]])</f>
        <v/>
      </c>
      <c r="V53" s="152"/>
      <c r="W53" s="152"/>
      <c r="X53" s="152"/>
    </row>
    <row r="54" spans="1:24" ht="13.5" hidden="1" thickBot="1" x14ac:dyDescent="0.35">
      <c r="A54" s="57"/>
      <c r="B54" s="61"/>
      <c r="C54" s="155"/>
      <c r="D54" s="62"/>
      <c r="E54" s="63"/>
      <c r="F54" s="63"/>
      <c r="G54" s="94">
        <f t="shared" si="1"/>
        <v>0</v>
      </c>
      <c r="H54" t="str">
        <f>Table8[[#This Row],[Program Code]]&amp;Table8[[#This Row],[Approved Service Provided]]&amp;Table8[[#This Row],[County of Service]]</f>
        <v/>
      </c>
      <c r="I54" t="str">
        <f>IF(Table8[[#This Row],[Waiver]]="State SLS", "8", IF(Table8[[#This Row],[Waiver]]="OBRA", "9", ""))</f>
        <v/>
      </c>
      <c r="J54" t="str">
        <f>IFERROR(VLOOKUP(Table8[[#This Row],[Combined]],'Optimax Rates'!D:E,2,FALSE),"")</f>
        <v/>
      </c>
      <c r="K54" t="str">
        <f>TEXT(Table8[[#This Row],[Date of Service]],"m/dd/yyyy ")&amp;" "&amp;TEXT(Table8[[#This Row],[Time In HH:MM AM/PM]],"hh:mm")</f>
        <v>1/00/1900  00:00</v>
      </c>
      <c r="L54" t="str">
        <f>TEXT(Table8[[#This Row],[Date of Service]],"m/dd/yyyy ")&amp;" "&amp;TEXT(Table8[[#This Row],[Time Out HH:MM AM/PM]],"hh:mm")</f>
        <v>1/00/1900  00:00</v>
      </c>
      <c r="M54" t="b" cm="1">
        <f t="array" ref="M54">SUMPRODUCT((Table8[[#This Row],[Formula3]]&lt;$L$7:$L$70)*(Table8[[#This Row],[Formula4]]&gt;=$K$7:$K$70))&gt;1</f>
        <v>0</v>
      </c>
      <c r="N54" s="90">
        <f>Table8[[#This Row],[Time Out HH:MM AM/PM]]-Table8[[#This Row],[Time In HH:MM AM/PM]]</f>
        <v>0</v>
      </c>
      <c r="O54" s="91" t="str">
        <f>TEXT(Table8[[#This Row],[Formula 1]],"HH:MM")</f>
        <v>00:00</v>
      </c>
      <c r="P54" s="91" t="str">
        <f>LEFT(Table8[[#This Row],[Formula 2]],SEARCH(":",Table8[[#This Row],[Formula 2]])-1)</f>
        <v>00</v>
      </c>
      <c r="Q54" s="91" t="str">
        <f>RIGHT(Table8[[#This Row],[Formula 2]],SEARCH(":",Table8[[#This Row],[Formula 2]])-1)</f>
        <v>00</v>
      </c>
      <c r="R54" s="91">
        <f>Table8[[#This Row],[Hours]]*60+Table8[[#This Row],[Minutes]]</f>
        <v>0</v>
      </c>
      <c r="S54" s="92" t="str">
        <f>IF(ISBLANK(Table8[[#This Row],[Approved Service Provided]]),"",IF(OR(Table8[[#This Row],[Formula2]]="DAYS",Table8[[#This Row],[Formula2]]="TRIP"),1,ROUNDDOWN((Table8[[#This Row],[Total Minutes]]+7)/15,0)))</f>
        <v/>
      </c>
      <c r="T54" s="93" t="str">
        <f>IFERROR(VLOOKUP(Table8[[#This Row],[Combined]],'Optimax Rates'!D:G,4,FALSE),"")</f>
        <v/>
      </c>
      <c r="U54" s="93" t="str">
        <f>IF(Table8[[#This Row],[Rate]]="","",Table8[[#This Row],[Units]]*Table8[[#This Row],[Rate]])</f>
        <v/>
      </c>
      <c r="V54" s="152"/>
      <c r="W54" s="152"/>
      <c r="X54" s="152"/>
    </row>
    <row r="55" spans="1:24" ht="13.5" hidden="1" thickBot="1" x14ac:dyDescent="0.35">
      <c r="A55" s="57"/>
      <c r="B55" s="61"/>
      <c r="C55" s="155"/>
      <c r="D55" s="62"/>
      <c r="E55" s="63"/>
      <c r="F55" s="63"/>
      <c r="G55" s="94">
        <f t="shared" si="1"/>
        <v>0</v>
      </c>
      <c r="H55" t="str">
        <f>Table8[[#This Row],[Program Code]]&amp;Table8[[#This Row],[Approved Service Provided]]&amp;Table8[[#This Row],[County of Service]]</f>
        <v/>
      </c>
      <c r="I55" t="str">
        <f>IF(Table8[[#This Row],[Waiver]]="State SLS", "8", IF(Table8[[#This Row],[Waiver]]="OBRA", "9", ""))</f>
        <v/>
      </c>
      <c r="J55" t="str">
        <f>IFERROR(VLOOKUP(Table8[[#This Row],[Combined]],'Optimax Rates'!D:E,2,FALSE),"")</f>
        <v/>
      </c>
      <c r="K55" t="str">
        <f>TEXT(Table8[[#This Row],[Date of Service]],"m/dd/yyyy ")&amp;" "&amp;TEXT(Table8[[#This Row],[Time In HH:MM AM/PM]],"hh:mm")</f>
        <v>1/00/1900  00:00</v>
      </c>
      <c r="L55" t="str">
        <f>TEXT(Table8[[#This Row],[Date of Service]],"m/dd/yyyy ")&amp;" "&amp;TEXT(Table8[[#This Row],[Time Out HH:MM AM/PM]],"hh:mm")</f>
        <v>1/00/1900  00:00</v>
      </c>
      <c r="M55" t="b" cm="1">
        <f t="array" ref="M55">SUMPRODUCT((Table8[[#This Row],[Formula3]]&lt;$L$7:$L$70)*(Table8[[#This Row],[Formula4]]&gt;=$K$7:$K$70))&gt;1</f>
        <v>0</v>
      </c>
      <c r="N55" s="90">
        <f>Table8[[#This Row],[Time Out HH:MM AM/PM]]-Table8[[#This Row],[Time In HH:MM AM/PM]]</f>
        <v>0</v>
      </c>
      <c r="O55" s="91" t="str">
        <f>TEXT(Table8[[#This Row],[Formula 1]],"HH:MM")</f>
        <v>00:00</v>
      </c>
      <c r="P55" s="91" t="str">
        <f>LEFT(Table8[[#This Row],[Formula 2]],SEARCH(":",Table8[[#This Row],[Formula 2]])-1)</f>
        <v>00</v>
      </c>
      <c r="Q55" s="91" t="str">
        <f>RIGHT(Table8[[#This Row],[Formula 2]],SEARCH(":",Table8[[#This Row],[Formula 2]])-1)</f>
        <v>00</v>
      </c>
      <c r="R55" s="91">
        <f>Table8[[#This Row],[Hours]]*60+Table8[[#This Row],[Minutes]]</f>
        <v>0</v>
      </c>
      <c r="S55" s="92" t="str">
        <f>IF(ISBLANK(Table8[[#This Row],[Approved Service Provided]]),"",IF(OR(Table8[[#This Row],[Formula2]]="DAYS",Table8[[#This Row],[Formula2]]="TRIP"),1,ROUNDDOWN((Table8[[#This Row],[Total Minutes]]+7)/15,0)))</f>
        <v/>
      </c>
      <c r="T55" s="93" t="str">
        <f>IFERROR(VLOOKUP(Table8[[#This Row],[Combined]],'Optimax Rates'!D:G,4,FALSE),"")</f>
        <v/>
      </c>
      <c r="U55" s="93" t="str">
        <f>IF(Table8[[#This Row],[Rate]]="","",Table8[[#This Row],[Units]]*Table8[[#This Row],[Rate]])</f>
        <v/>
      </c>
      <c r="V55" s="152"/>
      <c r="W55" s="152"/>
      <c r="X55" s="152"/>
    </row>
    <row r="56" spans="1:24" ht="13.5" hidden="1" thickBot="1" x14ac:dyDescent="0.35">
      <c r="A56" s="19"/>
      <c r="B56" s="16"/>
      <c r="C56" s="70"/>
      <c r="D56" s="1"/>
      <c r="E56" s="2"/>
      <c r="F56" s="2"/>
      <c r="G56" s="94">
        <f t="shared" si="1"/>
        <v>0</v>
      </c>
      <c r="H56" t="str">
        <f>Table8[[#This Row],[Program Code]]&amp;Table8[[#This Row],[Approved Service Provided]]&amp;Table8[[#This Row],[County of Service]]</f>
        <v/>
      </c>
      <c r="I56" t="str">
        <f>IF(Table8[[#This Row],[Waiver]]="State SLS", "8", IF(Table8[[#This Row],[Waiver]]="OBRA", "9", ""))</f>
        <v/>
      </c>
      <c r="J56" t="str">
        <f>IFERROR(VLOOKUP(Table8[[#This Row],[Combined]],'Optimax Rates'!D:E,2,FALSE),"")</f>
        <v/>
      </c>
      <c r="K56" t="str">
        <f>TEXT(Table8[[#This Row],[Date of Service]],"m/dd/yyyy ")&amp;" "&amp;TEXT(Table8[[#This Row],[Time In HH:MM AM/PM]],"hh:mm")</f>
        <v>1/00/1900  00:00</v>
      </c>
      <c r="L56" t="str">
        <f>TEXT(Table8[[#This Row],[Date of Service]],"m/dd/yyyy ")&amp;" "&amp;TEXT(Table8[[#This Row],[Time Out HH:MM AM/PM]],"hh:mm")</f>
        <v>1/00/1900  00:00</v>
      </c>
      <c r="M56" t="b" cm="1">
        <f t="array" ref="M56">SUMPRODUCT((Table8[[#This Row],[Formula3]]&lt;$L$7:$L$70)*(Table8[[#This Row],[Formula4]]&gt;=$K$7:$K$70))&gt;1</f>
        <v>0</v>
      </c>
      <c r="N56" s="90">
        <f>Table8[[#This Row],[Time Out HH:MM AM/PM]]-Table8[[#This Row],[Time In HH:MM AM/PM]]</f>
        <v>0</v>
      </c>
      <c r="O56" s="91" t="str">
        <f>TEXT(Table8[[#This Row],[Formula 1]],"HH:MM")</f>
        <v>00:00</v>
      </c>
      <c r="P56" s="91" t="str">
        <f>LEFT(Table8[[#This Row],[Formula 2]],SEARCH(":",Table8[[#This Row],[Formula 2]])-1)</f>
        <v>00</v>
      </c>
      <c r="Q56" s="91" t="str">
        <f>RIGHT(Table8[[#This Row],[Formula 2]],SEARCH(":",Table8[[#This Row],[Formula 2]])-1)</f>
        <v>00</v>
      </c>
      <c r="R56" s="91">
        <f>Table8[[#This Row],[Hours]]*60+Table8[[#This Row],[Minutes]]</f>
        <v>0</v>
      </c>
      <c r="S56" s="92" t="str">
        <f>IF(ISBLANK(Table8[[#This Row],[Approved Service Provided]]),"",IF(OR(Table8[[#This Row],[Formula2]]="DAYS",Table8[[#This Row],[Formula2]]="TRIP"),1,ROUNDDOWN((Table8[[#This Row],[Total Minutes]]+7)/15,0)))</f>
        <v/>
      </c>
      <c r="T56" s="93" t="str">
        <f>IFERROR(VLOOKUP(Table8[[#This Row],[Combined]],'Optimax Rates'!D:G,4,FALSE),"")</f>
        <v/>
      </c>
      <c r="U56" s="93" t="str">
        <f>IF(Table8[[#This Row],[Rate]]="","",Table8[[#This Row],[Units]]*Table8[[#This Row],[Rate]])</f>
        <v/>
      </c>
      <c r="V56" s="152"/>
      <c r="W56" s="152"/>
      <c r="X56" s="152"/>
    </row>
    <row r="57" spans="1:24" ht="13.5" hidden="1" thickBot="1" x14ac:dyDescent="0.35">
      <c r="A57" s="19"/>
      <c r="B57" s="16"/>
      <c r="C57" s="70"/>
      <c r="D57" s="1"/>
      <c r="E57" s="2"/>
      <c r="F57" s="2"/>
      <c r="G57" s="94">
        <f t="shared" si="1"/>
        <v>0</v>
      </c>
      <c r="H57" t="str">
        <f>Table8[[#This Row],[Program Code]]&amp;Table8[[#This Row],[Approved Service Provided]]&amp;Table8[[#This Row],[County of Service]]</f>
        <v/>
      </c>
      <c r="I57" t="str">
        <f>IF(Table8[[#This Row],[Waiver]]="State SLS", "8", IF(Table8[[#This Row],[Waiver]]="OBRA", "9", ""))</f>
        <v/>
      </c>
      <c r="J57" t="str">
        <f>IFERROR(VLOOKUP(Table8[[#This Row],[Combined]],'Optimax Rates'!D:E,2,FALSE),"")</f>
        <v/>
      </c>
      <c r="K57" t="str">
        <f>TEXT(Table8[[#This Row],[Date of Service]],"m/dd/yyyy ")&amp;" "&amp;TEXT(Table8[[#This Row],[Time In HH:MM AM/PM]],"hh:mm")</f>
        <v>1/00/1900  00:00</v>
      </c>
      <c r="L57" t="str">
        <f>TEXT(Table8[[#This Row],[Date of Service]],"m/dd/yyyy ")&amp;" "&amp;TEXT(Table8[[#This Row],[Time Out HH:MM AM/PM]],"hh:mm")</f>
        <v>1/00/1900  00:00</v>
      </c>
      <c r="M57" t="b" cm="1">
        <f t="array" ref="M57">SUMPRODUCT((Table8[[#This Row],[Formula3]]&lt;$L$7:$L$70)*(Table8[[#This Row],[Formula4]]&gt;=$K$7:$K$70))&gt;1</f>
        <v>0</v>
      </c>
      <c r="N57" s="90">
        <f>Table8[[#This Row],[Time Out HH:MM AM/PM]]-Table8[[#This Row],[Time In HH:MM AM/PM]]</f>
        <v>0</v>
      </c>
      <c r="O57" s="91" t="str">
        <f>TEXT(Table8[[#This Row],[Formula 1]],"HH:MM")</f>
        <v>00:00</v>
      </c>
      <c r="P57" s="91" t="str">
        <f>LEFT(Table8[[#This Row],[Formula 2]],SEARCH(":",Table8[[#This Row],[Formula 2]])-1)</f>
        <v>00</v>
      </c>
      <c r="Q57" s="91" t="str">
        <f>RIGHT(Table8[[#This Row],[Formula 2]],SEARCH(":",Table8[[#This Row],[Formula 2]])-1)</f>
        <v>00</v>
      </c>
      <c r="R57" s="91">
        <f>Table8[[#This Row],[Hours]]*60+Table8[[#This Row],[Minutes]]</f>
        <v>0</v>
      </c>
      <c r="S57" s="92" t="str">
        <f>IF(ISBLANK(Table8[[#This Row],[Approved Service Provided]]),"",IF(OR(Table8[[#This Row],[Formula2]]="DAYS",Table8[[#This Row],[Formula2]]="TRIP"),1,ROUNDDOWN((Table8[[#This Row],[Total Minutes]]+7)/15,0)))</f>
        <v/>
      </c>
      <c r="T57" s="93" t="str">
        <f>IFERROR(VLOOKUP(Table8[[#This Row],[Combined]],'Optimax Rates'!D:G,4,FALSE),"")</f>
        <v/>
      </c>
      <c r="U57" s="93" t="str">
        <f>IF(Table8[[#This Row],[Rate]]="","",Table8[[#This Row],[Units]]*Table8[[#This Row],[Rate]])</f>
        <v/>
      </c>
      <c r="V57" s="152"/>
      <c r="W57" s="152"/>
      <c r="X57" s="152"/>
    </row>
    <row r="58" spans="1:24" ht="13.5" hidden="1" thickBot="1" x14ac:dyDescent="0.35">
      <c r="A58" s="19"/>
      <c r="B58" s="16"/>
      <c r="C58" s="70"/>
      <c r="D58" s="1"/>
      <c r="E58" s="2"/>
      <c r="F58" s="2"/>
      <c r="G58" s="94">
        <f t="shared" si="1"/>
        <v>0</v>
      </c>
      <c r="H58" t="str">
        <f>Table8[[#This Row],[Program Code]]&amp;Table8[[#This Row],[Approved Service Provided]]&amp;Table8[[#This Row],[County of Service]]</f>
        <v/>
      </c>
      <c r="I58" t="str">
        <f>IF(Table8[[#This Row],[Waiver]]="State SLS", "8", IF(Table8[[#This Row],[Waiver]]="OBRA", "9", ""))</f>
        <v/>
      </c>
      <c r="J58" t="str">
        <f>IFERROR(VLOOKUP(Table8[[#This Row],[Combined]],'Optimax Rates'!D:E,2,FALSE),"")</f>
        <v/>
      </c>
      <c r="K58" t="str">
        <f>TEXT(Table8[[#This Row],[Date of Service]],"m/dd/yyyy ")&amp;" "&amp;TEXT(Table8[[#This Row],[Time In HH:MM AM/PM]],"hh:mm")</f>
        <v>1/00/1900  00:00</v>
      </c>
      <c r="L58" t="str">
        <f>TEXT(Table8[[#This Row],[Date of Service]],"m/dd/yyyy ")&amp;" "&amp;TEXT(Table8[[#This Row],[Time Out HH:MM AM/PM]],"hh:mm")</f>
        <v>1/00/1900  00:00</v>
      </c>
      <c r="M58" t="b" cm="1">
        <f t="array" ref="M58">SUMPRODUCT((Table8[[#This Row],[Formula3]]&lt;$L$7:$L$70)*(Table8[[#This Row],[Formula4]]&gt;=$K$7:$K$70))&gt;1</f>
        <v>0</v>
      </c>
      <c r="N58" s="90">
        <f>Table8[[#This Row],[Time Out HH:MM AM/PM]]-Table8[[#This Row],[Time In HH:MM AM/PM]]</f>
        <v>0</v>
      </c>
      <c r="O58" s="91" t="str">
        <f>TEXT(Table8[[#This Row],[Formula 1]],"HH:MM")</f>
        <v>00:00</v>
      </c>
      <c r="P58" s="91" t="str">
        <f>LEFT(Table8[[#This Row],[Formula 2]],SEARCH(":",Table8[[#This Row],[Formula 2]])-1)</f>
        <v>00</v>
      </c>
      <c r="Q58" s="91" t="str">
        <f>RIGHT(Table8[[#This Row],[Formula 2]],SEARCH(":",Table8[[#This Row],[Formula 2]])-1)</f>
        <v>00</v>
      </c>
      <c r="R58" s="91">
        <f>Table8[[#This Row],[Hours]]*60+Table8[[#This Row],[Minutes]]</f>
        <v>0</v>
      </c>
      <c r="S58" s="92" t="str">
        <f>IF(ISBLANK(Table8[[#This Row],[Approved Service Provided]]),"",IF(OR(Table8[[#This Row],[Formula2]]="DAYS",Table8[[#This Row],[Formula2]]="TRIP"),1,ROUNDDOWN((Table8[[#This Row],[Total Minutes]]+7)/15,0)))</f>
        <v/>
      </c>
      <c r="T58" s="93" t="str">
        <f>IFERROR(VLOOKUP(Table8[[#This Row],[Combined]],'Optimax Rates'!D:G,4,FALSE),"")</f>
        <v/>
      </c>
      <c r="U58" s="93" t="str">
        <f>IF(Table8[[#This Row],[Rate]]="","",Table8[[#This Row],[Units]]*Table8[[#This Row],[Rate]])</f>
        <v/>
      </c>
      <c r="V58" s="152"/>
      <c r="W58" s="152"/>
      <c r="X58" s="152"/>
    </row>
    <row r="59" spans="1:24" ht="13.5" hidden="1" thickBot="1" x14ac:dyDescent="0.35">
      <c r="A59" s="19"/>
      <c r="B59" s="16"/>
      <c r="C59" s="70"/>
      <c r="D59" s="1"/>
      <c r="E59" s="2"/>
      <c r="F59" s="2"/>
      <c r="G59" s="94">
        <f t="shared" si="1"/>
        <v>0</v>
      </c>
      <c r="H59" t="str">
        <f>Table8[[#This Row],[Program Code]]&amp;Table8[[#This Row],[Approved Service Provided]]&amp;Table8[[#This Row],[County of Service]]</f>
        <v/>
      </c>
      <c r="I59" t="str">
        <f>IF(Table8[[#This Row],[Waiver]]="State SLS", "8", IF(Table8[[#This Row],[Waiver]]="OBRA", "9", ""))</f>
        <v/>
      </c>
      <c r="J59" t="str">
        <f>IFERROR(VLOOKUP(Table8[[#This Row],[Combined]],'Optimax Rates'!D:E,2,FALSE),"")</f>
        <v/>
      </c>
      <c r="K59" t="str">
        <f>TEXT(Table8[[#This Row],[Date of Service]],"m/dd/yyyy ")&amp;" "&amp;TEXT(Table8[[#This Row],[Time In HH:MM AM/PM]],"hh:mm")</f>
        <v>1/00/1900  00:00</v>
      </c>
      <c r="L59" t="str">
        <f>TEXT(Table8[[#This Row],[Date of Service]],"m/dd/yyyy ")&amp;" "&amp;TEXT(Table8[[#This Row],[Time Out HH:MM AM/PM]],"hh:mm")</f>
        <v>1/00/1900  00:00</v>
      </c>
      <c r="M59" t="b" cm="1">
        <f t="array" ref="M59">SUMPRODUCT((Table8[[#This Row],[Formula3]]&lt;$L$7:$L$70)*(Table8[[#This Row],[Formula4]]&gt;=$K$7:$K$70))&gt;1</f>
        <v>0</v>
      </c>
      <c r="N59" s="90">
        <f>Table8[[#This Row],[Time Out HH:MM AM/PM]]-Table8[[#This Row],[Time In HH:MM AM/PM]]</f>
        <v>0</v>
      </c>
      <c r="O59" s="91" t="str">
        <f>TEXT(Table8[[#This Row],[Formula 1]],"HH:MM")</f>
        <v>00:00</v>
      </c>
      <c r="P59" s="91" t="str">
        <f>LEFT(Table8[[#This Row],[Formula 2]],SEARCH(":",Table8[[#This Row],[Formula 2]])-1)</f>
        <v>00</v>
      </c>
      <c r="Q59" s="91" t="str">
        <f>RIGHT(Table8[[#This Row],[Formula 2]],SEARCH(":",Table8[[#This Row],[Formula 2]])-1)</f>
        <v>00</v>
      </c>
      <c r="R59" s="91">
        <f>Table8[[#This Row],[Hours]]*60+Table8[[#This Row],[Minutes]]</f>
        <v>0</v>
      </c>
      <c r="S59" s="92" t="str">
        <f>IF(ISBLANK(Table8[[#This Row],[Approved Service Provided]]),"",IF(OR(Table8[[#This Row],[Formula2]]="DAYS",Table8[[#This Row],[Formula2]]="TRIP"),1,ROUNDDOWN((Table8[[#This Row],[Total Minutes]]+7)/15,0)))</f>
        <v/>
      </c>
      <c r="T59" s="93" t="str">
        <f>IFERROR(VLOOKUP(Table8[[#This Row],[Combined]],'Optimax Rates'!D:G,4,FALSE),"")</f>
        <v/>
      </c>
      <c r="U59" s="93" t="str">
        <f>IF(Table8[[#This Row],[Rate]]="","",Table8[[#This Row],[Units]]*Table8[[#This Row],[Rate]])</f>
        <v/>
      </c>
      <c r="V59" s="152"/>
      <c r="W59" s="152"/>
      <c r="X59" s="152"/>
    </row>
    <row r="60" spans="1:24" ht="13.5" hidden="1" thickBot="1" x14ac:dyDescent="0.35">
      <c r="A60" s="19"/>
      <c r="B60" s="16"/>
      <c r="C60" s="70"/>
      <c r="D60" s="1"/>
      <c r="E60" s="2"/>
      <c r="F60" s="2"/>
      <c r="G60" s="94">
        <f t="shared" si="1"/>
        <v>0</v>
      </c>
      <c r="H60" t="str">
        <f>Table8[[#This Row],[Program Code]]&amp;Table8[[#This Row],[Approved Service Provided]]&amp;Table8[[#This Row],[County of Service]]</f>
        <v/>
      </c>
      <c r="I60" t="str">
        <f>IF(Table8[[#This Row],[Waiver]]="State SLS", "8", IF(Table8[[#This Row],[Waiver]]="OBRA", "9", ""))</f>
        <v/>
      </c>
      <c r="J60" t="str">
        <f>IFERROR(VLOOKUP(Table8[[#This Row],[Combined]],'Optimax Rates'!D:E,2,FALSE),"")</f>
        <v/>
      </c>
      <c r="K60" t="str">
        <f>TEXT(Table8[[#This Row],[Date of Service]],"m/dd/yyyy ")&amp;" "&amp;TEXT(Table8[[#This Row],[Time In HH:MM AM/PM]],"hh:mm")</f>
        <v>1/00/1900  00:00</v>
      </c>
      <c r="L60" t="str">
        <f>TEXT(Table8[[#This Row],[Date of Service]],"m/dd/yyyy ")&amp;" "&amp;TEXT(Table8[[#This Row],[Time Out HH:MM AM/PM]],"hh:mm")</f>
        <v>1/00/1900  00:00</v>
      </c>
      <c r="M60" t="b" cm="1">
        <f t="array" ref="M60">SUMPRODUCT((Table8[[#This Row],[Formula3]]&lt;$L$7:$L$70)*(Table8[[#This Row],[Formula4]]&gt;=$K$7:$K$70))&gt;1</f>
        <v>0</v>
      </c>
      <c r="N60" s="90">
        <f>Table8[[#This Row],[Time Out HH:MM AM/PM]]-Table8[[#This Row],[Time In HH:MM AM/PM]]</f>
        <v>0</v>
      </c>
      <c r="O60" s="91" t="str">
        <f>TEXT(Table8[[#This Row],[Formula 1]],"HH:MM")</f>
        <v>00:00</v>
      </c>
      <c r="P60" s="91" t="str">
        <f>LEFT(Table8[[#This Row],[Formula 2]],SEARCH(":",Table8[[#This Row],[Formula 2]])-1)</f>
        <v>00</v>
      </c>
      <c r="Q60" s="91" t="str">
        <f>RIGHT(Table8[[#This Row],[Formula 2]],SEARCH(":",Table8[[#This Row],[Formula 2]])-1)</f>
        <v>00</v>
      </c>
      <c r="R60" s="91">
        <f>Table8[[#This Row],[Hours]]*60+Table8[[#This Row],[Minutes]]</f>
        <v>0</v>
      </c>
      <c r="S60" s="92" t="str">
        <f>IF(ISBLANK(Table8[[#This Row],[Approved Service Provided]]),"",IF(OR(Table8[[#This Row],[Formula2]]="DAYS",Table8[[#This Row],[Formula2]]="TRIP"),1,ROUNDDOWN((Table8[[#This Row],[Total Minutes]]+7)/15,0)))</f>
        <v/>
      </c>
      <c r="T60" s="93" t="str">
        <f>IFERROR(VLOOKUP(Table8[[#This Row],[Combined]],'Optimax Rates'!D:G,4,FALSE),"")</f>
        <v/>
      </c>
      <c r="U60" s="93" t="str">
        <f>IF(Table8[[#This Row],[Rate]]="","",Table8[[#This Row],[Units]]*Table8[[#This Row],[Rate]])</f>
        <v/>
      </c>
      <c r="V60" s="152"/>
      <c r="W60" s="152"/>
      <c r="X60" s="152"/>
    </row>
    <row r="61" spans="1:24" ht="13.5" hidden="1" thickBot="1" x14ac:dyDescent="0.35">
      <c r="A61" s="19"/>
      <c r="B61" s="16"/>
      <c r="C61" s="70"/>
      <c r="D61" s="1"/>
      <c r="E61" s="2"/>
      <c r="F61" s="2"/>
      <c r="G61" s="94">
        <f t="shared" si="1"/>
        <v>0</v>
      </c>
      <c r="H61" t="str">
        <f>Table8[[#This Row],[Program Code]]&amp;Table8[[#This Row],[Approved Service Provided]]&amp;Table8[[#This Row],[County of Service]]</f>
        <v/>
      </c>
      <c r="I61" t="str">
        <f>IF(Table8[[#This Row],[Waiver]]="State SLS", "8", IF(Table8[[#This Row],[Waiver]]="OBRA", "9", ""))</f>
        <v/>
      </c>
      <c r="J61" t="str">
        <f>IFERROR(VLOOKUP(Table8[[#This Row],[Combined]],'Optimax Rates'!D:E,2,FALSE),"")</f>
        <v/>
      </c>
      <c r="K61" t="str">
        <f>TEXT(Table8[[#This Row],[Date of Service]],"m/dd/yyyy ")&amp;" "&amp;TEXT(Table8[[#This Row],[Time In HH:MM AM/PM]],"hh:mm")</f>
        <v>1/00/1900  00:00</v>
      </c>
      <c r="L61" t="str">
        <f>TEXT(Table8[[#This Row],[Date of Service]],"m/dd/yyyy ")&amp;" "&amp;TEXT(Table8[[#This Row],[Time Out HH:MM AM/PM]],"hh:mm")</f>
        <v>1/00/1900  00:00</v>
      </c>
      <c r="M61" t="b" cm="1">
        <f t="array" ref="M61">SUMPRODUCT((Table8[[#This Row],[Formula3]]&lt;$L$7:$L$70)*(Table8[[#This Row],[Formula4]]&gt;=$K$7:$K$70))&gt;1</f>
        <v>0</v>
      </c>
      <c r="N61" s="90">
        <f>Table8[[#This Row],[Time Out HH:MM AM/PM]]-Table8[[#This Row],[Time In HH:MM AM/PM]]</f>
        <v>0</v>
      </c>
      <c r="O61" s="91" t="str">
        <f>TEXT(Table8[[#This Row],[Formula 1]],"HH:MM")</f>
        <v>00:00</v>
      </c>
      <c r="P61" s="91" t="str">
        <f>LEFT(Table8[[#This Row],[Formula 2]],SEARCH(":",Table8[[#This Row],[Formula 2]])-1)</f>
        <v>00</v>
      </c>
      <c r="Q61" s="91" t="str">
        <f>RIGHT(Table8[[#This Row],[Formula 2]],SEARCH(":",Table8[[#This Row],[Formula 2]])-1)</f>
        <v>00</v>
      </c>
      <c r="R61" s="91">
        <f>Table8[[#This Row],[Hours]]*60+Table8[[#This Row],[Minutes]]</f>
        <v>0</v>
      </c>
      <c r="S61" s="92" t="str">
        <f>IF(ISBLANK(Table8[[#This Row],[Approved Service Provided]]),"",IF(OR(Table8[[#This Row],[Formula2]]="DAYS",Table8[[#This Row],[Formula2]]="TRIP"),1,ROUNDDOWN((Table8[[#This Row],[Total Minutes]]+7)/15,0)))</f>
        <v/>
      </c>
      <c r="T61" s="93" t="str">
        <f>IFERROR(VLOOKUP(Table8[[#This Row],[Combined]],'Optimax Rates'!D:G,4,FALSE),"")</f>
        <v/>
      </c>
      <c r="U61" s="93" t="str">
        <f>IF(Table8[[#This Row],[Rate]]="","",Table8[[#This Row],[Units]]*Table8[[#This Row],[Rate]])</f>
        <v/>
      </c>
      <c r="V61" s="152"/>
      <c r="W61" s="152"/>
      <c r="X61" s="152"/>
    </row>
    <row r="62" spans="1:24" ht="13.5" hidden="1" thickBot="1" x14ac:dyDescent="0.35">
      <c r="A62" s="19"/>
      <c r="B62" s="16"/>
      <c r="C62" s="70"/>
      <c r="D62" s="1"/>
      <c r="E62" s="2"/>
      <c r="F62" s="2"/>
      <c r="G62" s="94">
        <f t="shared" si="1"/>
        <v>0</v>
      </c>
      <c r="H62" t="str">
        <f>Table8[[#This Row],[Program Code]]&amp;Table8[[#This Row],[Approved Service Provided]]&amp;Table8[[#This Row],[County of Service]]</f>
        <v/>
      </c>
      <c r="I62" t="str">
        <f>IF(Table8[[#This Row],[Waiver]]="State SLS", "8", IF(Table8[[#This Row],[Waiver]]="OBRA", "9", ""))</f>
        <v/>
      </c>
      <c r="J62" t="str">
        <f>IFERROR(VLOOKUP(Table8[[#This Row],[Combined]],'Optimax Rates'!D:E,2,FALSE),"")</f>
        <v/>
      </c>
      <c r="K62" t="str">
        <f>TEXT(Table8[[#This Row],[Date of Service]],"m/dd/yyyy ")&amp;" "&amp;TEXT(Table8[[#This Row],[Time In HH:MM AM/PM]],"hh:mm")</f>
        <v>1/00/1900  00:00</v>
      </c>
      <c r="L62" t="str">
        <f>TEXT(Table8[[#This Row],[Date of Service]],"m/dd/yyyy ")&amp;" "&amp;TEXT(Table8[[#This Row],[Time Out HH:MM AM/PM]],"hh:mm")</f>
        <v>1/00/1900  00:00</v>
      </c>
      <c r="M62" t="b" cm="1">
        <f t="array" ref="M62">SUMPRODUCT((Table8[[#This Row],[Formula3]]&lt;$L$7:$L$70)*(Table8[[#This Row],[Formula4]]&gt;=$K$7:$K$70))&gt;1</f>
        <v>0</v>
      </c>
      <c r="N62" s="90">
        <f>Table8[[#This Row],[Time Out HH:MM AM/PM]]-Table8[[#This Row],[Time In HH:MM AM/PM]]</f>
        <v>0</v>
      </c>
      <c r="O62" s="91" t="str">
        <f>TEXT(Table8[[#This Row],[Formula 1]],"HH:MM")</f>
        <v>00:00</v>
      </c>
      <c r="P62" s="91" t="str">
        <f>LEFT(Table8[[#This Row],[Formula 2]],SEARCH(":",Table8[[#This Row],[Formula 2]])-1)</f>
        <v>00</v>
      </c>
      <c r="Q62" s="91" t="str">
        <f>RIGHT(Table8[[#This Row],[Formula 2]],SEARCH(":",Table8[[#This Row],[Formula 2]])-1)</f>
        <v>00</v>
      </c>
      <c r="R62" s="91">
        <f>Table8[[#This Row],[Hours]]*60+Table8[[#This Row],[Minutes]]</f>
        <v>0</v>
      </c>
      <c r="S62" s="92" t="str">
        <f>IF(ISBLANK(Table8[[#This Row],[Approved Service Provided]]),"",IF(OR(Table8[[#This Row],[Formula2]]="DAYS",Table8[[#This Row],[Formula2]]="TRIP"),1,ROUNDDOWN((Table8[[#This Row],[Total Minutes]]+7)/15,0)))</f>
        <v/>
      </c>
      <c r="T62" s="93" t="str">
        <f>IFERROR(VLOOKUP(Table8[[#This Row],[Combined]],'Optimax Rates'!D:G,4,FALSE),"")</f>
        <v/>
      </c>
      <c r="U62" s="93" t="str">
        <f>IF(Table8[[#This Row],[Rate]]="","",Table8[[#This Row],[Units]]*Table8[[#This Row],[Rate]])</f>
        <v/>
      </c>
      <c r="V62" s="152"/>
      <c r="W62" s="152"/>
      <c r="X62" s="152"/>
    </row>
    <row r="63" spans="1:24" ht="13.5" hidden="1" thickBot="1" x14ac:dyDescent="0.35">
      <c r="A63" s="19"/>
      <c r="B63" s="16"/>
      <c r="C63" s="70"/>
      <c r="D63" s="1"/>
      <c r="E63" s="2"/>
      <c r="F63" s="2"/>
      <c r="G63" s="94">
        <f t="shared" si="1"/>
        <v>0</v>
      </c>
      <c r="H63" t="str">
        <f>Table8[[#This Row],[Program Code]]&amp;Table8[[#This Row],[Approved Service Provided]]&amp;Table8[[#This Row],[County of Service]]</f>
        <v/>
      </c>
      <c r="I63" t="str">
        <f>IF(Table8[[#This Row],[Waiver]]="State SLS", "8", IF(Table8[[#This Row],[Waiver]]="OBRA", "9", ""))</f>
        <v/>
      </c>
      <c r="J63" t="str">
        <f>IFERROR(VLOOKUP(Table8[[#This Row],[Combined]],'Optimax Rates'!D:E,2,FALSE),"")</f>
        <v/>
      </c>
      <c r="K63" t="str">
        <f>TEXT(Table8[[#This Row],[Date of Service]],"m/dd/yyyy ")&amp;" "&amp;TEXT(Table8[[#This Row],[Time In HH:MM AM/PM]],"hh:mm")</f>
        <v>1/00/1900  00:00</v>
      </c>
      <c r="L63" t="str">
        <f>TEXT(Table8[[#This Row],[Date of Service]],"m/dd/yyyy ")&amp;" "&amp;TEXT(Table8[[#This Row],[Time Out HH:MM AM/PM]],"hh:mm")</f>
        <v>1/00/1900  00:00</v>
      </c>
      <c r="M63" t="b" cm="1">
        <f t="array" ref="M63">SUMPRODUCT((Table8[[#This Row],[Formula3]]&lt;$L$7:$L$70)*(Table8[[#This Row],[Formula4]]&gt;=$K$7:$K$70))&gt;1</f>
        <v>0</v>
      </c>
      <c r="N63" s="90">
        <f>Table8[[#This Row],[Time Out HH:MM AM/PM]]-Table8[[#This Row],[Time In HH:MM AM/PM]]</f>
        <v>0</v>
      </c>
      <c r="O63" s="91" t="str">
        <f>TEXT(Table8[[#This Row],[Formula 1]],"HH:MM")</f>
        <v>00:00</v>
      </c>
      <c r="P63" s="91" t="str">
        <f>LEFT(Table8[[#This Row],[Formula 2]],SEARCH(":",Table8[[#This Row],[Formula 2]])-1)</f>
        <v>00</v>
      </c>
      <c r="Q63" s="91" t="str">
        <f>RIGHT(Table8[[#This Row],[Formula 2]],SEARCH(":",Table8[[#This Row],[Formula 2]])-1)</f>
        <v>00</v>
      </c>
      <c r="R63" s="91">
        <f>Table8[[#This Row],[Hours]]*60+Table8[[#This Row],[Minutes]]</f>
        <v>0</v>
      </c>
      <c r="S63" s="92" t="str">
        <f>IF(ISBLANK(Table8[[#This Row],[Approved Service Provided]]),"",IF(OR(Table8[[#This Row],[Formula2]]="DAYS",Table8[[#This Row],[Formula2]]="TRIP"),1,ROUNDDOWN((Table8[[#This Row],[Total Minutes]]+7)/15,0)))</f>
        <v/>
      </c>
      <c r="T63" s="93" t="str">
        <f>IFERROR(VLOOKUP(Table8[[#This Row],[Combined]],'Optimax Rates'!D:G,4,FALSE),"")</f>
        <v/>
      </c>
      <c r="U63" s="93" t="str">
        <f>IF(Table8[[#This Row],[Rate]]="","",Table8[[#This Row],[Units]]*Table8[[#This Row],[Rate]])</f>
        <v/>
      </c>
      <c r="V63" s="152"/>
      <c r="W63" s="152"/>
      <c r="X63" s="152"/>
    </row>
    <row r="64" spans="1:24" ht="13.5" hidden="1" thickBot="1" x14ac:dyDescent="0.35">
      <c r="A64" s="19"/>
      <c r="B64" s="17"/>
      <c r="C64" s="159"/>
      <c r="D64" s="1"/>
      <c r="E64" s="2"/>
      <c r="F64" s="2"/>
      <c r="G64" s="94">
        <f t="shared" si="1"/>
        <v>0</v>
      </c>
      <c r="H64" t="str">
        <f>Table8[[#This Row],[Program Code]]&amp;Table8[[#This Row],[Approved Service Provided]]&amp;Table8[[#This Row],[County of Service]]</f>
        <v/>
      </c>
      <c r="I64" t="str">
        <f>IF(Table8[[#This Row],[Waiver]]="State SLS", "8", IF(Table8[[#This Row],[Waiver]]="OBRA", "9", ""))</f>
        <v/>
      </c>
      <c r="J64" t="str">
        <f>IFERROR(VLOOKUP(Table8[[#This Row],[Combined]],'Optimax Rates'!D:E,2,FALSE),"")</f>
        <v/>
      </c>
      <c r="K64" t="str">
        <f>TEXT(Table8[[#This Row],[Date of Service]],"m/dd/yyyy ")&amp;" "&amp;TEXT(Table8[[#This Row],[Time In HH:MM AM/PM]],"hh:mm")</f>
        <v>1/00/1900  00:00</v>
      </c>
      <c r="L64" t="str">
        <f>TEXT(Table8[[#This Row],[Date of Service]],"m/dd/yyyy ")&amp;" "&amp;TEXT(Table8[[#This Row],[Time Out HH:MM AM/PM]],"hh:mm")</f>
        <v>1/00/1900  00:00</v>
      </c>
      <c r="M64" t="b" cm="1">
        <f t="array" ref="M64">SUMPRODUCT((Table8[[#This Row],[Formula3]]&lt;$L$7:$L$70)*(Table8[[#This Row],[Formula4]]&gt;=$K$7:$K$70))&gt;1</f>
        <v>0</v>
      </c>
      <c r="N64" s="90">
        <f>Table8[[#This Row],[Time Out HH:MM AM/PM]]-Table8[[#This Row],[Time In HH:MM AM/PM]]</f>
        <v>0</v>
      </c>
      <c r="O64" s="91" t="str">
        <f>TEXT(Table8[[#This Row],[Formula 1]],"HH:MM")</f>
        <v>00:00</v>
      </c>
      <c r="P64" s="91" t="str">
        <f>LEFT(Table8[[#This Row],[Formula 2]],SEARCH(":",Table8[[#This Row],[Formula 2]])-1)</f>
        <v>00</v>
      </c>
      <c r="Q64" s="91" t="str">
        <f>RIGHT(Table8[[#This Row],[Formula 2]],SEARCH(":",Table8[[#This Row],[Formula 2]])-1)</f>
        <v>00</v>
      </c>
      <c r="R64" s="91">
        <f>Table8[[#This Row],[Hours]]*60+Table8[[#This Row],[Minutes]]</f>
        <v>0</v>
      </c>
      <c r="S64" s="92" t="str">
        <f>IF(ISBLANK(Table8[[#This Row],[Approved Service Provided]]),"",IF(OR(Table8[[#This Row],[Formula2]]="DAYS",Table8[[#This Row],[Formula2]]="TRIP"),1,ROUNDDOWN((Table8[[#This Row],[Total Minutes]]+7)/15,0)))</f>
        <v/>
      </c>
      <c r="T64" s="93" t="str">
        <f>IFERROR(VLOOKUP(Table8[[#This Row],[Combined]],'Optimax Rates'!D:G,4,FALSE),"")</f>
        <v/>
      </c>
      <c r="U64" s="93" t="str">
        <f>IF(Table8[[#This Row],[Rate]]="","",Table8[[#This Row],[Units]]*Table8[[#This Row],[Rate]])</f>
        <v/>
      </c>
      <c r="V64" s="152"/>
      <c r="W64" s="152"/>
      <c r="X64" s="152"/>
    </row>
    <row r="65" spans="1:25" ht="13.5" hidden="1" thickBot="1" x14ac:dyDescent="0.35">
      <c r="A65" s="19"/>
      <c r="B65" s="16"/>
      <c r="C65" s="70"/>
      <c r="D65" s="1"/>
      <c r="E65" s="2"/>
      <c r="F65" s="2"/>
      <c r="G65" s="94">
        <f t="shared" si="1"/>
        <v>0</v>
      </c>
      <c r="H65" t="str">
        <f>Table8[[#This Row],[Program Code]]&amp;Table8[[#This Row],[Approved Service Provided]]&amp;Table8[[#This Row],[County of Service]]</f>
        <v/>
      </c>
      <c r="I65" t="str">
        <f>IF(Table8[[#This Row],[Waiver]]="State SLS", "8", IF(Table8[[#This Row],[Waiver]]="OBRA", "9", ""))</f>
        <v/>
      </c>
      <c r="J65" t="str">
        <f>IFERROR(VLOOKUP(Table8[[#This Row],[Combined]],'Optimax Rates'!D:E,2,FALSE),"")</f>
        <v/>
      </c>
      <c r="K65" t="str">
        <f>TEXT(Table8[[#This Row],[Date of Service]],"m/dd/yyyy ")&amp;" "&amp;TEXT(Table8[[#This Row],[Time In HH:MM AM/PM]],"hh:mm")</f>
        <v>1/00/1900  00:00</v>
      </c>
      <c r="L65" t="str">
        <f>TEXT(Table8[[#This Row],[Date of Service]],"m/dd/yyyy ")&amp;" "&amp;TEXT(Table8[[#This Row],[Time Out HH:MM AM/PM]],"hh:mm")</f>
        <v>1/00/1900  00:00</v>
      </c>
      <c r="M65" t="b" cm="1">
        <f t="array" ref="M65">SUMPRODUCT((Table8[[#This Row],[Formula3]]&lt;$L$7:$L$70)*(Table8[[#This Row],[Formula4]]&gt;=$K$7:$K$70))&gt;1</f>
        <v>0</v>
      </c>
      <c r="N65" s="90">
        <f>Table8[[#This Row],[Time Out HH:MM AM/PM]]-Table8[[#This Row],[Time In HH:MM AM/PM]]</f>
        <v>0</v>
      </c>
      <c r="O65" s="91" t="str">
        <f>TEXT(Table8[[#This Row],[Formula 1]],"HH:MM")</f>
        <v>00:00</v>
      </c>
      <c r="P65" s="91" t="str">
        <f>LEFT(Table8[[#This Row],[Formula 2]],SEARCH(":",Table8[[#This Row],[Formula 2]])-1)</f>
        <v>00</v>
      </c>
      <c r="Q65" s="91" t="str">
        <f>RIGHT(Table8[[#This Row],[Formula 2]],SEARCH(":",Table8[[#This Row],[Formula 2]])-1)</f>
        <v>00</v>
      </c>
      <c r="R65" s="91">
        <f>Table8[[#This Row],[Hours]]*60+Table8[[#This Row],[Minutes]]</f>
        <v>0</v>
      </c>
      <c r="S65" s="92" t="str">
        <f>IF(ISBLANK(Table8[[#This Row],[Approved Service Provided]]),"",IF(OR(Table8[[#This Row],[Formula2]]="DAYS",Table8[[#This Row],[Formula2]]="TRIP"),1,ROUNDDOWN((Table8[[#This Row],[Total Minutes]]+7)/15,0)))</f>
        <v/>
      </c>
      <c r="T65" s="93" t="str">
        <f>IFERROR(VLOOKUP(Table8[[#This Row],[Combined]],'Optimax Rates'!D:G,4,FALSE),"")</f>
        <v/>
      </c>
      <c r="U65" s="93" t="str">
        <f>IF(Table8[[#This Row],[Rate]]="","",Table8[[#This Row],[Units]]*Table8[[#This Row],[Rate]])</f>
        <v/>
      </c>
      <c r="V65" s="152"/>
      <c r="W65" s="152"/>
      <c r="X65" s="152"/>
    </row>
    <row r="66" spans="1:25" ht="13.5" hidden="1" thickBot="1" x14ac:dyDescent="0.35">
      <c r="A66" s="19"/>
      <c r="B66" s="16"/>
      <c r="C66" s="70"/>
      <c r="D66" s="1"/>
      <c r="E66" s="2"/>
      <c r="F66" s="2"/>
      <c r="G66" s="94">
        <f t="shared" si="1"/>
        <v>0</v>
      </c>
      <c r="H66" t="str">
        <f>Table8[[#This Row],[Program Code]]&amp;Table8[[#This Row],[Approved Service Provided]]&amp;Table8[[#This Row],[County of Service]]</f>
        <v/>
      </c>
      <c r="I66" t="str">
        <f>IF(Table8[[#This Row],[Waiver]]="State SLS", "8", IF(Table8[[#This Row],[Waiver]]="OBRA", "9", ""))</f>
        <v/>
      </c>
      <c r="J66" t="str">
        <f>IFERROR(VLOOKUP(Table8[[#This Row],[Combined]],'Optimax Rates'!D:E,2,FALSE),"")</f>
        <v/>
      </c>
      <c r="K66" t="str">
        <f>TEXT(Table8[[#This Row],[Date of Service]],"m/dd/yyyy ")&amp;" "&amp;TEXT(Table8[[#This Row],[Time In HH:MM AM/PM]],"hh:mm")</f>
        <v>1/00/1900  00:00</v>
      </c>
      <c r="L66" t="str">
        <f>TEXT(Table8[[#This Row],[Date of Service]],"m/dd/yyyy ")&amp;" "&amp;TEXT(Table8[[#This Row],[Time Out HH:MM AM/PM]],"hh:mm")</f>
        <v>1/00/1900  00:00</v>
      </c>
      <c r="M66" t="b" cm="1">
        <f t="array" ref="M66">SUMPRODUCT((Table8[[#This Row],[Formula3]]&lt;$L$7:$L$70)*(Table8[[#This Row],[Formula4]]&gt;=$K$7:$K$70))&gt;1</f>
        <v>0</v>
      </c>
      <c r="N66" s="90">
        <f>Table8[[#This Row],[Time Out HH:MM AM/PM]]-Table8[[#This Row],[Time In HH:MM AM/PM]]</f>
        <v>0</v>
      </c>
      <c r="O66" s="91" t="str">
        <f>TEXT(Table8[[#This Row],[Formula 1]],"HH:MM")</f>
        <v>00:00</v>
      </c>
      <c r="P66" s="91" t="str">
        <f>LEFT(Table8[[#This Row],[Formula 2]],SEARCH(":",Table8[[#This Row],[Formula 2]])-1)</f>
        <v>00</v>
      </c>
      <c r="Q66" s="91" t="str">
        <f>RIGHT(Table8[[#This Row],[Formula 2]],SEARCH(":",Table8[[#This Row],[Formula 2]])-1)</f>
        <v>00</v>
      </c>
      <c r="R66" s="91">
        <f>Table8[[#This Row],[Hours]]*60+Table8[[#This Row],[Minutes]]</f>
        <v>0</v>
      </c>
      <c r="S66" s="92" t="str">
        <f>IF(ISBLANK(Table8[[#This Row],[Approved Service Provided]]),"",IF(OR(Table8[[#This Row],[Formula2]]="DAYS",Table8[[#This Row],[Formula2]]="TRIP"),1,ROUNDDOWN((Table8[[#This Row],[Total Minutes]]+7)/15,0)))</f>
        <v/>
      </c>
      <c r="T66" s="93" t="str">
        <f>IFERROR(VLOOKUP(Table8[[#This Row],[Combined]],'Optimax Rates'!D:G,4,FALSE),"")</f>
        <v/>
      </c>
      <c r="U66" s="93" t="str">
        <f>IF(Table8[[#This Row],[Rate]]="","",Table8[[#This Row],[Units]]*Table8[[#This Row],[Rate]])</f>
        <v/>
      </c>
      <c r="V66" s="152"/>
      <c r="W66" s="152"/>
      <c r="X66" s="152"/>
    </row>
    <row r="67" spans="1:25" ht="13.5" hidden="1" thickBot="1" x14ac:dyDescent="0.35">
      <c r="A67" s="19"/>
      <c r="B67" s="16"/>
      <c r="C67" s="70"/>
      <c r="D67" s="1"/>
      <c r="E67" s="2"/>
      <c r="F67" s="2"/>
      <c r="G67" s="94">
        <f t="shared" si="1"/>
        <v>0</v>
      </c>
      <c r="H67" t="str">
        <f>Table8[[#This Row],[Program Code]]&amp;Table8[[#This Row],[Approved Service Provided]]&amp;Table8[[#This Row],[County of Service]]</f>
        <v/>
      </c>
      <c r="I67" t="str">
        <f>IF(Table8[[#This Row],[Waiver]]="State SLS", "8", IF(Table8[[#This Row],[Waiver]]="OBRA", "9", ""))</f>
        <v/>
      </c>
      <c r="J67" t="str">
        <f>IFERROR(VLOOKUP(Table8[[#This Row],[Combined]],'Optimax Rates'!D:E,2,FALSE),"")</f>
        <v/>
      </c>
      <c r="K67" t="str">
        <f>TEXT(Table8[[#This Row],[Date of Service]],"m/dd/yyyy ")&amp;" "&amp;TEXT(Table8[[#This Row],[Time In HH:MM AM/PM]],"hh:mm")</f>
        <v>1/00/1900  00:00</v>
      </c>
      <c r="L67" t="str">
        <f>TEXT(Table8[[#This Row],[Date of Service]],"m/dd/yyyy ")&amp;" "&amp;TEXT(Table8[[#This Row],[Time Out HH:MM AM/PM]],"hh:mm")</f>
        <v>1/00/1900  00:00</v>
      </c>
      <c r="M67" t="b" cm="1">
        <f t="array" ref="M67">SUMPRODUCT((Table8[[#This Row],[Formula3]]&lt;$L$7:$L$70)*(Table8[[#This Row],[Formula4]]&gt;=$K$7:$K$70))&gt;1</f>
        <v>0</v>
      </c>
      <c r="N67" s="90">
        <f>Table8[[#This Row],[Time Out HH:MM AM/PM]]-Table8[[#This Row],[Time In HH:MM AM/PM]]</f>
        <v>0</v>
      </c>
      <c r="O67" s="91" t="str">
        <f>TEXT(Table8[[#This Row],[Formula 1]],"HH:MM")</f>
        <v>00:00</v>
      </c>
      <c r="P67" s="91" t="str">
        <f>LEFT(Table8[[#This Row],[Formula 2]],SEARCH(":",Table8[[#This Row],[Formula 2]])-1)</f>
        <v>00</v>
      </c>
      <c r="Q67" s="91" t="str">
        <f>RIGHT(Table8[[#This Row],[Formula 2]],SEARCH(":",Table8[[#This Row],[Formula 2]])-1)</f>
        <v>00</v>
      </c>
      <c r="R67" s="91">
        <f>Table8[[#This Row],[Hours]]*60+Table8[[#This Row],[Minutes]]</f>
        <v>0</v>
      </c>
      <c r="S67" s="92" t="str">
        <f>IF(ISBLANK(Table8[[#This Row],[Approved Service Provided]]),"",IF(OR(Table8[[#This Row],[Formula2]]="DAYS",Table8[[#This Row],[Formula2]]="TRIP"),1,ROUNDDOWN((Table8[[#This Row],[Total Minutes]]+7)/15,0)))</f>
        <v/>
      </c>
      <c r="T67" s="93" t="str">
        <f>IFERROR(VLOOKUP(Table8[[#This Row],[Combined]],'Optimax Rates'!D:G,4,FALSE),"")</f>
        <v/>
      </c>
      <c r="U67" s="93" t="str">
        <f>IF(Table8[[#This Row],[Rate]]="","",Table8[[#This Row],[Units]]*Table8[[#This Row],[Rate]])</f>
        <v/>
      </c>
      <c r="V67" s="152"/>
      <c r="W67" s="152"/>
      <c r="X67" s="152"/>
    </row>
    <row r="68" spans="1:25" ht="13.5" hidden="1" thickBot="1" x14ac:dyDescent="0.35">
      <c r="A68" s="19"/>
      <c r="B68" s="16"/>
      <c r="C68" s="70"/>
      <c r="D68" s="1"/>
      <c r="E68" s="2"/>
      <c r="F68" s="2"/>
      <c r="G68" s="94">
        <f t="shared" si="1"/>
        <v>0</v>
      </c>
      <c r="H68" t="str">
        <f>Table8[[#This Row],[Program Code]]&amp;Table8[[#This Row],[Approved Service Provided]]&amp;Table8[[#This Row],[County of Service]]</f>
        <v/>
      </c>
      <c r="I68" t="str">
        <f>IF(Table8[[#This Row],[Waiver]]="State SLS", "8", IF(Table8[[#This Row],[Waiver]]="OBRA", "9", ""))</f>
        <v/>
      </c>
      <c r="J68" t="str">
        <f>IFERROR(VLOOKUP(Table8[[#This Row],[Combined]],'Optimax Rates'!D:E,2,FALSE),"")</f>
        <v/>
      </c>
      <c r="K68" t="str">
        <f>TEXT(Table8[[#This Row],[Date of Service]],"m/dd/yyyy ")&amp;" "&amp;TEXT(Table8[[#This Row],[Time In HH:MM AM/PM]],"hh:mm")</f>
        <v>1/00/1900  00:00</v>
      </c>
      <c r="L68" t="str">
        <f>TEXT(Table8[[#This Row],[Date of Service]],"m/dd/yyyy ")&amp;" "&amp;TEXT(Table8[[#This Row],[Time Out HH:MM AM/PM]],"hh:mm")</f>
        <v>1/00/1900  00:00</v>
      </c>
      <c r="M68" t="b" cm="1">
        <f t="array" ref="M68">SUMPRODUCT((Table8[[#This Row],[Formula3]]&lt;$L$7:$L$70)*(Table8[[#This Row],[Formula4]]&gt;=$K$7:$K$70))&gt;1</f>
        <v>0</v>
      </c>
      <c r="N68" s="90">
        <f>Table8[[#This Row],[Time Out HH:MM AM/PM]]-Table8[[#This Row],[Time In HH:MM AM/PM]]</f>
        <v>0</v>
      </c>
      <c r="O68" s="91" t="str">
        <f>TEXT(Table8[[#This Row],[Formula 1]],"HH:MM")</f>
        <v>00:00</v>
      </c>
      <c r="P68" s="91" t="str">
        <f>LEFT(Table8[[#This Row],[Formula 2]],SEARCH(":",Table8[[#This Row],[Formula 2]])-1)</f>
        <v>00</v>
      </c>
      <c r="Q68" s="91" t="str">
        <f>RIGHT(Table8[[#This Row],[Formula 2]],SEARCH(":",Table8[[#This Row],[Formula 2]])-1)</f>
        <v>00</v>
      </c>
      <c r="R68" s="91">
        <f>Table8[[#This Row],[Hours]]*60+Table8[[#This Row],[Minutes]]</f>
        <v>0</v>
      </c>
      <c r="S68" s="92" t="str">
        <f>IF(ISBLANK(Table8[[#This Row],[Approved Service Provided]]),"",IF(OR(Table8[[#This Row],[Formula2]]="DAYS",Table8[[#This Row],[Formula2]]="TRIP"),1,ROUNDDOWN((Table8[[#This Row],[Total Minutes]]+7)/15,0)))</f>
        <v/>
      </c>
      <c r="T68" s="93" t="str">
        <f>IFERROR(VLOOKUP(Table8[[#This Row],[Combined]],'Optimax Rates'!D:G,4,FALSE),"")</f>
        <v/>
      </c>
      <c r="U68" s="93" t="str">
        <f>IF(Table8[[#This Row],[Rate]]="","",Table8[[#This Row],[Units]]*Table8[[#This Row],[Rate]])</f>
        <v/>
      </c>
      <c r="V68" s="152"/>
      <c r="W68" s="152"/>
      <c r="X68" s="152"/>
    </row>
    <row r="69" spans="1:25" ht="13.5" hidden="1" thickBot="1" x14ac:dyDescent="0.35">
      <c r="A69" s="19"/>
      <c r="B69" s="16"/>
      <c r="C69" s="70"/>
      <c r="D69" s="1"/>
      <c r="E69" s="2"/>
      <c r="F69" s="2"/>
      <c r="G69" s="94">
        <f t="shared" si="1"/>
        <v>0</v>
      </c>
      <c r="H69" t="str">
        <f>Table8[[#This Row],[Program Code]]&amp;Table8[[#This Row],[Approved Service Provided]]&amp;Table8[[#This Row],[County of Service]]</f>
        <v/>
      </c>
      <c r="I69" t="str">
        <f>IF(Table8[[#This Row],[Waiver]]="State SLS", "8", IF(Table8[[#This Row],[Waiver]]="OBRA", "9", ""))</f>
        <v/>
      </c>
      <c r="J69" t="str">
        <f>IFERROR(VLOOKUP(Table8[[#This Row],[Combined]],'Optimax Rates'!D:E,2,FALSE),"")</f>
        <v/>
      </c>
      <c r="K69" t="str">
        <f>TEXT(Table8[[#This Row],[Date of Service]],"m/dd/yyyy ")&amp;" "&amp;TEXT(Table8[[#This Row],[Time In HH:MM AM/PM]],"hh:mm")</f>
        <v>1/00/1900  00:00</v>
      </c>
      <c r="L69" t="str">
        <f>TEXT(Table8[[#This Row],[Date of Service]],"m/dd/yyyy ")&amp;" "&amp;TEXT(Table8[[#This Row],[Time Out HH:MM AM/PM]],"hh:mm")</f>
        <v>1/00/1900  00:00</v>
      </c>
      <c r="M69" t="b" cm="1">
        <f t="array" ref="M69">SUMPRODUCT((Table8[[#This Row],[Formula3]]&lt;$L$7:$L$70)*(Table8[[#This Row],[Formula4]]&gt;=$K$7:$K$70))&gt;1</f>
        <v>0</v>
      </c>
      <c r="N69" s="90">
        <f>Table8[[#This Row],[Time Out HH:MM AM/PM]]-Table8[[#This Row],[Time In HH:MM AM/PM]]</f>
        <v>0</v>
      </c>
      <c r="O69" s="91" t="str">
        <f>TEXT(Table8[[#This Row],[Formula 1]],"HH:MM")</f>
        <v>00:00</v>
      </c>
      <c r="P69" s="91" t="str">
        <f>LEFT(Table8[[#This Row],[Formula 2]],SEARCH(":",Table8[[#This Row],[Formula 2]])-1)</f>
        <v>00</v>
      </c>
      <c r="Q69" s="91" t="str">
        <f>RIGHT(Table8[[#This Row],[Formula 2]],SEARCH(":",Table8[[#This Row],[Formula 2]])-1)</f>
        <v>00</v>
      </c>
      <c r="R69" s="91">
        <f>Table8[[#This Row],[Hours]]*60+Table8[[#This Row],[Minutes]]</f>
        <v>0</v>
      </c>
      <c r="S69" s="92" t="str">
        <f>IF(ISBLANK(Table8[[#This Row],[Approved Service Provided]]),"",IF(OR(Table8[[#This Row],[Formula2]]="DAYS",Table8[[#This Row],[Formula2]]="TRIP"),1,ROUNDDOWN((Table8[[#This Row],[Total Minutes]]+7)/15,0)))</f>
        <v/>
      </c>
      <c r="T69" s="93" t="str">
        <f>IFERROR(VLOOKUP(Table8[[#This Row],[Combined]],'Optimax Rates'!D:G,4,FALSE),"")</f>
        <v/>
      </c>
      <c r="U69" s="93" t="str">
        <f>IF(Table8[[#This Row],[Rate]]="","",Table8[[#This Row],[Units]]*Table8[[#This Row],[Rate]])</f>
        <v/>
      </c>
      <c r="V69" s="152"/>
      <c r="W69" s="152"/>
      <c r="X69" s="152"/>
    </row>
    <row r="70" spans="1:25" hidden="1" x14ac:dyDescent="0.3">
      <c r="A70" s="19"/>
      <c r="B70" s="16"/>
      <c r="C70" s="70"/>
      <c r="D70" s="1"/>
      <c r="E70" s="2"/>
      <c r="F70" s="2"/>
      <c r="G70" s="94">
        <f t="shared" si="1"/>
        <v>0</v>
      </c>
      <c r="H70" t="str">
        <f>Table8[[#This Row],[Program Code]]&amp;Table8[[#This Row],[Approved Service Provided]]&amp;Table8[[#This Row],[County of Service]]</f>
        <v/>
      </c>
      <c r="I70" t="str">
        <f>IF(Table8[[#This Row],[Waiver]]="State SLS", "8", IF(Table8[[#This Row],[Waiver]]="OBRA", "9", ""))</f>
        <v/>
      </c>
      <c r="J70" t="str">
        <f>IFERROR(VLOOKUP(Table8[[#This Row],[Combined]],'Optimax Rates'!D:E,2,FALSE),"")</f>
        <v/>
      </c>
      <c r="K70" t="str">
        <f>TEXT(Table8[[#This Row],[Date of Service]],"m/dd/yyyy ")&amp;" "&amp;TEXT(Table8[[#This Row],[Time In HH:MM AM/PM]],"hh:mm")</f>
        <v>1/00/1900  00:00</v>
      </c>
      <c r="L70" t="str">
        <f>TEXT(Table8[[#This Row],[Date of Service]],"m/dd/yyyy ")&amp;" "&amp;TEXT(Table8[[#This Row],[Time Out HH:MM AM/PM]],"hh:mm")</f>
        <v>1/00/1900  00:00</v>
      </c>
      <c r="M70" t="b" cm="1">
        <f t="array" ref="M70">SUMPRODUCT((Table8[[#This Row],[Formula3]]&lt;$L$7:$L$70)*(Table8[[#This Row],[Formula4]]&gt;=$K$7:$K$70))&gt;1</f>
        <v>0</v>
      </c>
      <c r="N70" s="90">
        <f>Table8[[#This Row],[Time Out HH:MM AM/PM]]-Table8[[#This Row],[Time In HH:MM AM/PM]]</f>
        <v>0</v>
      </c>
      <c r="O70" s="91" t="str">
        <f>TEXT(Table8[[#This Row],[Formula 1]],"HH:MM")</f>
        <v>00:00</v>
      </c>
      <c r="P70" s="91" t="str">
        <f>LEFT(Table8[[#This Row],[Formula 2]],SEARCH(":",Table8[[#This Row],[Formula 2]])-1)</f>
        <v>00</v>
      </c>
      <c r="Q70" s="91" t="str">
        <f>RIGHT(Table8[[#This Row],[Formula 2]],SEARCH(":",Table8[[#This Row],[Formula 2]])-1)</f>
        <v>00</v>
      </c>
      <c r="R70" s="91">
        <f>Table8[[#This Row],[Hours]]*60+Table8[[#This Row],[Minutes]]</f>
        <v>0</v>
      </c>
      <c r="S70" s="92" t="str">
        <f>IF(ISBLANK(Table8[[#This Row],[Approved Service Provided]]),"",IF(OR(Table8[[#This Row],[Formula2]]="DAYS",Table8[[#This Row],[Formula2]]="TRIP"),1,ROUNDDOWN((Table8[[#This Row],[Total Minutes]]+7)/15,0)))</f>
        <v/>
      </c>
      <c r="T70" s="93" t="str">
        <f>IFERROR(VLOOKUP(Table8[[#This Row],[Combined]],'Optimax Rates'!D:G,4,FALSE),"")</f>
        <v/>
      </c>
      <c r="U70" s="93" t="str">
        <f>IF(Table8[[#This Row],[Rate]]="","",Table8[[#This Row],[Units]]*Table8[[#This Row],[Rate]])</f>
        <v/>
      </c>
      <c r="V70" s="152"/>
      <c r="W70" s="152"/>
      <c r="X70" s="152"/>
    </row>
    <row r="71" spans="1:25" x14ac:dyDescent="0.3">
      <c r="A71" s="79"/>
      <c r="B71" s="80"/>
      <c r="C71" s="81"/>
      <c r="D71" s="81"/>
      <c r="E71" s="81"/>
      <c r="F71" s="81" t="s">
        <v>22</v>
      </c>
      <c r="G71" s="158"/>
      <c r="H71" s="95"/>
      <c r="I71" s="95"/>
      <c r="J71" s="95"/>
      <c r="K71" s="95"/>
      <c r="L71" s="95"/>
      <c r="M71" s="95"/>
      <c r="N71" s="95"/>
      <c r="O71" s="95"/>
      <c r="P71" s="95"/>
      <c r="Q71" s="95"/>
      <c r="R71" s="96">
        <f>SUBTOTAL(109,Table8[Total Minutes])</f>
        <v>0</v>
      </c>
      <c r="S71" s="97">
        <f>SUBTOTAL(109,Table8[Units])</f>
        <v>0</v>
      </c>
      <c r="T71" s="98"/>
      <c r="U71" s="99">
        <f>SUBTOTAL(109,Table8[Total Amount])</f>
        <v>0</v>
      </c>
      <c r="V71" s="152"/>
      <c r="W71" s="152"/>
      <c r="X71" s="152"/>
    </row>
    <row r="72" spans="1:25" ht="15.75" customHeight="1" x14ac:dyDescent="0.3">
      <c r="A72" s="171" t="s">
        <v>23</v>
      </c>
      <c r="B72" s="172"/>
      <c r="C72" s="172"/>
      <c r="D72" s="172"/>
      <c r="E72" s="172"/>
      <c r="F72" s="172"/>
      <c r="G72" s="172"/>
      <c r="H72" s="172"/>
      <c r="I72" s="172"/>
      <c r="J72" s="172"/>
      <c r="K72" s="172"/>
      <c r="L72" s="172"/>
      <c r="M72" s="172"/>
      <c r="N72" s="172"/>
      <c r="O72" s="172"/>
      <c r="P72" s="172"/>
      <c r="Q72" s="172"/>
      <c r="R72" s="172"/>
      <c r="S72" s="172"/>
      <c r="T72" s="172"/>
      <c r="U72" s="172"/>
      <c r="V72" s="147"/>
      <c r="W72" s="147"/>
      <c r="X72" s="147"/>
      <c r="Y72" s="147"/>
    </row>
    <row r="73" spans="1:25" ht="27.75" customHeight="1" x14ac:dyDescent="0.3">
      <c r="A73" s="173" t="s">
        <v>24</v>
      </c>
      <c r="B73" s="174"/>
      <c r="C73" s="174"/>
      <c r="D73" s="174"/>
      <c r="E73" s="174"/>
      <c r="F73" s="174"/>
      <c r="G73" s="174"/>
      <c r="H73" s="174"/>
      <c r="I73" s="174"/>
      <c r="J73" s="174"/>
      <c r="K73" s="174"/>
      <c r="L73" s="174"/>
      <c r="M73" s="174"/>
      <c r="N73" s="174"/>
      <c r="O73" s="174"/>
      <c r="P73" s="174"/>
      <c r="Q73" s="174"/>
      <c r="R73" s="174"/>
      <c r="S73" s="174"/>
      <c r="T73" s="174"/>
      <c r="U73" s="174"/>
      <c r="V73" s="148"/>
      <c r="W73" s="148"/>
      <c r="X73" s="148"/>
      <c r="Y73" s="148"/>
    </row>
    <row r="74" spans="1:25" x14ac:dyDescent="0.3">
      <c r="A74" s="38" t="s">
        <v>25</v>
      </c>
      <c r="B74" s="40"/>
      <c r="C74" s="41"/>
      <c r="D74" s="42"/>
      <c r="E74" s="37"/>
      <c r="F74" s="66"/>
      <c r="G74" s="37"/>
      <c r="H74" s="37"/>
      <c r="I74" s="37"/>
      <c r="J74" s="37"/>
      <c r="K74" s="37"/>
      <c r="L74" s="37"/>
      <c r="M74" s="37"/>
      <c r="N74" s="37"/>
      <c r="O74" s="43"/>
      <c r="P74" s="43"/>
      <c r="Q74" s="43"/>
      <c r="R74" s="43"/>
      <c r="S74" s="43"/>
      <c r="T74" s="43"/>
    </row>
    <row r="75" spans="1:25" ht="14" x14ac:dyDescent="0.3">
      <c r="A75" s="38" t="s">
        <v>26</v>
      </c>
      <c r="B75" s="49"/>
      <c r="C75" s="48" t="s">
        <v>27</v>
      </c>
      <c r="D75" s="175"/>
      <c r="E75" s="175"/>
      <c r="F75" s="175"/>
      <c r="G75" s="175"/>
      <c r="H75" s="175"/>
      <c r="I75" s="175"/>
      <c r="J75" s="175"/>
      <c r="K75" s="175"/>
      <c r="L75" s="175"/>
      <c r="M75" s="175"/>
      <c r="N75" s="175"/>
      <c r="O75" s="175"/>
      <c r="P75" s="175"/>
      <c r="Q75" s="175"/>
      <c r="R75" s="175"/>
      <c r="S75" s="175"/>
      <c r="T75" s="175"/>
    </row>
    <row r="76" spans="1:25" ht="9" customHeight="1" thickBot="1" x14ac:dyDescent="0.35">
      <c r="A76" s="39"/>
      <c r="B76" s="44"/>
      <c r="C76" s="45"/>
      <c r="D76" s="46"/>
      <c r="E76" s="44"/>
      <c r="F76" s="67"/>
      <c r="G76" s="44"/>
      <c r="H76" s="44"/>
      <c r="I76" s="44"/>
      <c r="J76" s="44"/>
      <c r="K76" s="44"/>
      <c r="L76" s="44"/>
      <c r="M76" s="44"/>
      <c r="N76" s="44"/>
      <c r="O76" s="47"/>
      <c r="P76" s="47"/>
      <c r="Q76" s="47"/>
      <c r="R76" s="47"/>
      <c r="S76" s="47"/>
      <c r="T76" s="47"/>
      <c r="U76" s="36"/>
    </row>
    <row r="77" spans="1:25" x14ac:dyDescent="0.3">
      <c r="A77" s="31" t="s">
        <v>165</v>
      </c>
      <c r="B77" s="32"/>
      <c r="C77" s="33"/>
      <c r="D77" s="34"/>
    </row>
    <row r="78" spans="1:25" s="146" customFormat="1" ht="10.5" thickBot="1" x14ac:dyDescent="0.25">
      <c r="A78" s="139" t="s">
        <v>159</v>
      </c>
      <c r="B78" s="140"/>
      <c r="C78" s="141"/>
      <c r="D78" s="142"/>
      <c r="E78" s="143"/>
      <c r="F78" s="144"/>
      <c r="G78" s="143"/>
      <c r="H78" s="143"/>
      <c r="I78" s="143"/>
      <c r="J78" s="143"/>
      <c r="K78" s="143"/>
      <c r="L78" s="143"/>
      <c r="M78" s="143"/>
      <c r="N78" s="143"/>
      <c r="O78" s="145"/>
      <c r="P78" s="145"/>
      <c r="Q78" s="145"/>
      <c r="R78" s="145"/>
    </row>
    <row r="79" spans="1:25" x14ac:dyDescent="0.3">
      <c r="A79" s="164" t="s">
        <v>160</v>
      </c>
      <c r="B79" s="165"/>
      <c r="C79" s="165"/>
      <c r="D79" s="165"/>
      <c r="E79" s="165"/>
      <c r="F79" s="165"/>
      <c r="G79" s="165"/>
      <c r="H79" s="165"/>
      <c r="I79" s="165"/>
      <c r="J79" s="165"/>
      <c r="K79" s="165"/>
      <c r="L79" s="165"/>
      <c r="M79" s="165"/>
      <c r="N79" s="165"/>
      <c r="O79" s="165"/>
      <c r="P79" s="165"/>
      <c r="Q79" s="165"/>
      <c r="R79" s="165"/>
      <c r="S79" s="165"/>
      <c r="T79" s="165"/>
      <c r="U79" s="165"/>
      <c r="V79" s="153"/>
      <c r="W79" s="153"/>
      <c r="X79" s="153"/>
      <c r="Y79" s="153"/>
    </row>
    <row r="80" spans="1:25" ht="41.25" customHeight="1" thickBot="1" x14ac:dyDescent="0.35">
      <c r="A80" s="166"/>
      <c r="B80" s="167"/>
      <c r="C80" s="167"/>
      <c r="D80" s="167"/>
      <c r="E80" s="167"/>
      <c r="F80" s="167"/>
      <c r="G80" s="167"/>
      <c r="H80" s="167"/>
      <c r="I80" s="167"/>
      <c r="J80" s="167"/>
      <c r="K80" s="167"/>
      <c r="L80" s="167"/>
      <c r="M80" s="167"/>
      <c r="N80" s="167"/>
      <c r="O80" s="167"/>
      <c r="P80" s="167"/>
      <c r="Q80" s="167"/>
      <c r="R80" s="167"/>
      <c r="S80" s="167"/>
      <c r="T80" s="167"/>
      <c r="U80" s="167"/>
      <c r="V80" s="153"/>
      <c r="W80" s="153"/>
      <c r="X80" s="153"/>
      <c r="Y80" s="153"/>
    </row>
    <row r="81" spans="1:1" x14ac:dyDescent="0.3">
      <c r="A81" s="3"/>
    </row>
  </sheetData>
  <sheetProtection algorithmName="SHA-512" hashValue="MPsL5YQ3RWjT9rfIRfoQTBO+QegASZvF4t8pS+wT/BilvWgjXMUijCVoy2AZLlcpxFfZVHnDru3vypKsZL635w==" saltValue="03OJXQY1S9VT78W40r5FCA==" spinCount="100000" sheet="1" formatColumns="0" formatRows="0" sort="0" autoFilter="0"/>
  <dataConsolidate/>
  <mergeCells count="9">
    <mergeCell ref="A79:U80"/>
    <mergeCell ref="A1:U1"/>
    <mergeCell ref="A72:U72"/>
    <mergeCell ref="A73:U73"/>
    <mergeCell ref="D75:T75"/>
    <mergeCell ref="D3:T3"/>
    <mergeCell ref="D4:T4"/>
    <mergeCell ref="D2:T2"/>
    <mergeCell ref="U2:U5"/>
  </mergeCells>
  <phoneticPr fontId="2" type="noConversion"/>
  <conditionalFormatting sqref="C72:C1048576 C3:C5 D6 C1">
    <cfRule type="duplicateValues" dxfId="1" priority="4"/>
  </conditionalFormatting>
  <conditionalFormatting sqref="E7:F70">
    <cfRule type="expression" dxfId="0" priority="1">
      <formula>$M7=TRUE</formula>
    </cfRule>
  </conditionalFormatting>
  <dataValidations xWindow="483" yWindow="841" count="10">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6"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6" xr:uid="{924B1F20-F601-41D4-BC1A-F3A5EF760187}"/>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C6" xr:uid="{3E740551-8DF0-41B7-AC18-736E2A82D504}"/>
    <dataValidation allowBlank="1" showInputMessage="1" showErrorMessage="1" promptTitle="Add More Rows" prompt="Rows can be added/removed by right-clicking on the line number(s) and selecting &quot;Unhide&quot; or &quot;Hide&quot; within the table (lines 7-70). Multiple lines can be selected at once." sqref="A72:Y78"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A1:Y1" xr:uid="{37ED6909-0D47-4850-9238-0457815878E0}"/>
    <dataValidation allowBlank="1" showInputMessage="1" promptTitle="Time Format" prompt="Please enter in the format HH:MM AM/PM. A space is needed between MM and AM/PM" sqref="G7:G70" xr:uid="{BF141E29-3564-4ACF-80B8-4726EF880E71}"/>
    <dataValidation allowBlank="1" showInputMessage="1" showErrorMessage="1" promptTitle="Rate" prompt="The rate will calculate based on the client's program, approved service, and county of service" sqref="T6:T70"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S6:S70" xr:uid="{2A08E69A-C778-4A4D-B790-87B0A540DCFA}"/>
    <dataValidation allowBlank="1" showInputMessage="1" promptTitle="Time Format" prompt="Please enter in the format HH:MM AM/PM. A space is needed between mins and AM/PM.Overlapping dates/times will highlight in red and should be corrected." sqref="E6:F70" xr:uid="{C2400EEE-1AB9-444D-AC68-A6055F49B8C1}"/>
    <dataValidation type="date" errorStyle="warning" allowBlank="1" showInputMessage="1" showErrorMessage="1" errorTitle="Verify Template" error="This template is for DOS between 7/1/25 and 6/30/26. You have entered a date prior to 7/1/25. Please confirm you are using the correct template. Updated templates can be found on the RMHS website" sqref="D7:D70" xr:uid="{0FF21E95-2F95-4F81-B952-7C6147418B62}">
      <formula1>45839</formula1>
      <formula2>46203</formula2>
    </dataValidation>
  </dataValidations>
  <pageMargins left="0.5" right="0.5" top="0.5" bottom="0" header="0.25" footer="0.5"/>
  <pageSetup paperSize="5" scale="88"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483" yWindow="841" count="3">
        <x14:dataValidation type="list" showInputMessage="1" showErrorMessage="1" xr:uid="{16969832-80A4-447E-A308-AEA873B9BA6F}">
          <x14:formula1>
            <xm:f>'Drop Downs'!$B$1:$B$2</xm:f>
          </x14:formula1>
          <xm:sqref>D3:T3</xm:sqref>
        </x14:dataValidation>
        <x14:dataValidation type="list" allowBlank="1" showInputMessage="1" xr:uid="{BFEE1468-6595-4987-AD97-36255A5C87ED}">
          <x14:formula1>
            <xm:f>'Drop Downs'!$A:$A</xm:f>
          </x14:formula1>
          <xm:sqref>A7:A70</xm:sqref>
        </x14:dataValidation>
        <x14:dataValidation type="list" allowBlank="1" showInputMessage="1" showErrorMessage="1" xr:uid="{1F0C0207-3AB7-45EB-BE62-1A44E4AC640A}">
          <x14:formula1>
            <xm:f>'Drop Downs'!$C:$C</xm:f>
          </x14:formula1>
          <xm:sqref>C7:C70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H124"/>
  <sheetViews>
    <sheetView topLeftCell="A51" zoomScale="120" zoomScaleNormal="120" workbookViewId="0">
      <selection activeCell="B110" sqref="B110"/>
    </sheetView>
  </sheetViews>
  <sheetFormatPr defaultRowHeight="12.5" x14ac:dyDescent="0.25"/>
  <cols>
    <col min="1" max="1" width="26.26953125" customWidth="1"/>
    <col min="2" max="2" width="9.7265625" customWidth="1"/>
    <col min="3" max="3" width="26.54296875" customWidth="1"/>
    <col min="4" max="4" width="35.54296875" customWidth="1"/>
    <col min="5" max="5" width="11.453125" customWidth="1"/>
    <col min="6" max="6" width="11.81640625" style="64" customWidth="1"/>
    <col min="8" max="8" width="18.54296875" customWidth="1"/>
  </cols>
  <sheetData>
    <row r="1" spans="1:8" x14ac:dyDescent="0.25">
      <c r="A1" s="15" t="s">
        <v>28</v>
      </c>
      <c r="B1" s="15" t="s">
        <v>154</v>
      </c>
      <c r="C1" s="15" t="s">
        <v>29</v>
      </c>
      <c r="D1" s="15" t="s">
        <v>157</v>
      </c>
      <c r="E1" s="15" t="s">
        <v>30</v>
      </c>
      <c r="F1" s="15" t="s">
        <v>31</v>
      </c>
      <c r="G1" s="156" t="s">
        <v>32</v>
      </c>
      <c r="H1" s="15" t="s">
        <v>33</v>
      </c>
    </row>
    <row r="2" spans="1:8" x14ac:dyDescent="0.25">
      <c r="A2" t="s">
        <v>34</v>
      </c>
      <c r="C2" s="160" t="s">
        <v>72</v>
      </c>
      <c r="D2" s="160" t="str">
        <f t="shared" ref="D2:D33" si="0">C2&amp;B2</f>
        <v>8Behavioral Consultation</v>
      </c>
      <c r="E2" s="72" t="s">
        <v>35</v>
      </c>
      <c r="F2" s="72"/>
      <c r="G2" s="73">
        <v>28.5</v>
      </c>
      <c r="H2" s="106">
        <v>45839</v>
      </c>
    </row>
    <row r="3" spans="1:8" x14ac:dyDescent="0.25">
      <c r="A3" t="s">
        <v>34</v>
      </c>
      <c r="C3" s="160" t="s">
        <v>98</v>
      </c>
      <c r="D3" s="160" t="str">
        <f t="shared" si="0"/>
        <v>9Behavioral Consultation</v>
      </c>
      <c r="E3" s="72" t="s">
        <v>35</v>
      </c>
      <c r="F3" s="72"/>
      <c r="G3" s="73">
        <v>28.5</v>
      </c>
      <c r="H3" s="106">
        <v>45839</v>
      </c>
    </row>
    <row r="4" spans="1:8" x14ac:dyDescent="0.25">
      <c r="A4" s="15" t="s">
        <v>34</v>
      </c>
      <c r="B4" s="15" t="s">
        <v>152</v>
      </c>
      <c r="C4" s="160" t="s">
        <v>72</v>
      </c>
      <c r="D4" s="160" t="str">
        <f t="shared" si="0"/>
        <v>8Behavioral ConsultationNon-Denver</v>
      </c>
      <c r="E4" s="72" t="s">
        <v>35</v>
      </c>
      <c r="F4" s="72"/>
      <c r="G4" s="73">
        <v>28.5</v>
      </c>
      <c r="H4" s="106">
        <v>45839</v>
      </c>
    </row>
    <row r="5" spans="1:8" x14ac:dyDescent="0.25">
      <c r="A5" t="s">
        <v>34</v>
      </c>
      <c r="B5" s="15" t="s">
        <v>152</v>
      </c>
      <c r="C5" s="160" t="s">
        <v>98</v>
      </c>
      <c r="D5" s="160" t="str">
        <f t="shared" si="0"/>
        <v>9Behavioral ConsultationNon-Denver</v>
      </c>
      <c r="E5" s="72" t="s">
        <v>35</v>
      </c>
      <c r="F5" s="72"/>
      <c r="G5" s="73">
        <v>28.5</v>
      </c>
      <c r="H5" s="106">
        <v>45839</v>
      </c>
    </row>
    <row r="6" spans="1:8" x14ac:dyDescent="0.25">
      <c r="A6" s="15" t="s">
        <v>34</v>
      </c>
      <c r="B6" s="15" t="s">
        <v>151</v>
      </c>
      <c r="C6" s="160" t="s">
        <v>72</v>
      </c>
      <c r="D6" s="160" t="str">
        <f t="shared" si="0"/>
        <v>8Behavioral ConsultationDenver</v>
      </c>
      <c r="E6" s="72" t="s">
        <v>35</v>
      </c>
      <c r="F6" s="72"/>
      <c r="G6" s="73">
        <v>28.5</v>
      </c>
      <c r="H6" s="106">
        <v>45839</v>
      </c>
    </row>
    <row r="7" spans="1:8" x14ac:dyDescent="0.25">
      <c r="A7" t="s">
        <v>34</v>
      </c>
      <c r="B7" s="15" t="s">
        <v>151</v>
      </c>
      <c r="C7" s="160" t="s">
        <v>98</v>
      </c>
      <c r="D7" s="160" t="str">
        <f t="shared" si="0"/>
        <v>9Behavioral ConsultationDenver</v>
      </c>
      <c r="E7" s="72" t="s">
        <v>35</v>
      </c>
      <c r="F7" s="72"/>
      <c r="G7" s="73">
        <v>28.5</v>
      </c>
      <c r="H7" s="106">
        <v>45839</v>
      </c>
    </row>
    <row r="8" spans="1:8" x14ac:dyDescent="0.25">
      <c r="A8" t="s">
        <v>36</v>
      </c>
      <c r="C8" s="160" t="s">
        <v>99</v>
      </c>
      <c r="D8" s="160" t="str">
        <f t="shared" si="0"/>
        <v>9Behavioral Counseling-Group</v>
      </c>
      <c r="E8" s="72" t="s">
        <v>35</v>
      </c>
      <c r="F8" s="72"/>
      <c r="G8" s="73">
        <v>9.6199999999999992</v>
      </c>
      <c r="H8" s="106">
        <v>45839</v>
      </c>
    </row>
    <row r="9" spans="1:8" x14ac:dyDescent="0.25">
      <c r="A9" t="s">
        <v>36</v>
      </c>
      <c r="C9" s="160" t="s">
        <v>73</v>
      </c>
      <c r="D9" s="160" t="str">
        <f t="shared" si="0"/>
        <v>8Behavioral Counseling-Group</v>
      </c>
      <c r="E9" s="72" t="s">
        <v>35</v>
      </c>
      <c r="F9" s="72"/>
      <c r="G9" s="73">
        <v>9.6199999999999992</v>
      </c>
      <c r="H9" s="106">
        <v>45839</v>
      </c>
    </row>
    <row r="10" spans="1:8" x14ac:dyDescent="0.25">
      <c r="A10" t="s">
        <v>36</v>
      </c>
      <c r="B10" s="15" t="s">
        <v>152</v>
      </c>
      <c r="C10" s="160" t="s">
        <v>73</v>
      </c>
      <c r="D10" s="160" t="str">
        <f t="shared" si="0"/>
        <v>8Behavioral Counseling-GroupNon-Denver</v>
      </c>
      <c r="E10" s="72" t="s">
        <v>35</v>
      </c>
      <c r="F10" s="72"/>
      <c r="G10" s="73">
        <v>9.6199999999999992</v>
      </c>
      <c r="H10" s="106">
        <v>45839</v>
      </c>
    </row>
    <row r="11" spans="1:8" x14ac:dyDescent="0.25">
      <c r="A11" t="s">
        <v>36</v>
      </c>
      <c r="B11" s="15" t="s">
        <v>152</v>
      </c>
      <c r="C11" s="160" t="s">
        <v>99</v>
      </c>
      <c r="D11" s="160" t="str">
        <f t="shared" si="0"/>
        <v>9Behavioral Counseling-GroupNon-Denver</v>
      </c>
      <c r="E11" s="72" t="s">
        <v>35</v>
      </c>
      <c r="F11" s="72"/>
      <c r="G11" s="73">
        <v>9.6199999999999992</v>
      </c>
      <c r="H11" s="106">
        <v>45839</v>
      </c>
    </row>
    <row r="12" spans="1:8" x14ac:dyDescent="0.25">
      <c r="A12" t="s">
        <v>36</v>
      </c>
      <c r="B12" s="15" t="s">
        <v>151</v>
      </c>
      <c r="C12" s="160" t="s">
        <v>73</v>
      </c>
      <c r="D12" s="160" t="str">
        <f t="shared" si="0"/>
        <v>8Behavioral Counseling-GroupDenver</v>
      </c>
      <c r="E12" s="72" t="s">
        <v>35</v>
      </c>
      <c r="F12" s="72"/>
      <c r="G12" s="73">
        <v>9.6199999999999992</v>
      </c>
      <c r="H12" s="106">
        <v>45839</v>
      </c>
    </row>
    <row r="13" spans="1:8" x14ac:dyDescent="0.25">
      <c r="A13" t="s">
        <v>36</v>
      </c>
      <c r="B13" s="15" t="s">
        <v>151</v>
      </c>
      <c r="C13" s="160" t="s">
        <v>99</v>
      </c>
      <c r="D13" s="160" t="str">
        <f t="shared" si="0"/>
        <v>9Behavioral Counseling-GroupDenver</v>
      </c>
      <c r="E13" s="72" t="s">
        <v>35</v>
      </c>
      <c r="F13" s="72"/>
      <c r="G13" s="73">
        <v>9.6199999999999992</v>
      </c>
      <c r="H13" s="106">
        <v>45839</v>
      </c>
    </row>
    <row r="14" spans="1:8" x14ac:dyDescent="0.25">
      <c r="A14" t="s">
        <v>37</v>
      </c>
      <c r="C14" s="160" t="s">
        <v>74</v>
      </c>
      <c r="D14" s="160" t="str">
        <f t="shared" si="0"/>
        <v>8Behavioral Counseling-Individual</v>
      </c>
      <c r="E14" s="72" t="s">
        <v>35</v>
      </c>
      <c r="F14" s="72"/>
      <c r="G14" s="73">
        <v>28.5</v>
      </c>
      <c r="H14" s="106">
        <v>45839</v>
      </c>
    </row>
    <row r="15" spans="1:8" x14ac:dyDescent="0.25">
      <c r="A15" t="s">
        <v>37</v>
      </c>
      <c r="B15" s="15" t="s">
        <v>152</v>
      </c>
      <c r="C15" s="160" t="s">
        <v>74</v>
      </c>
      <c r="D15" s="160" t="str">
        <f t="shared" si="0"/>
        <v>8Behavioral Counseling-IndividualNon-Denver</v>
      </c>
      <c r="E15" s="72" t="s">
        <v>35</v>
      </c>
      <c r="F15" s="72"/>
      <c r="G15" s="73">
        <v>28.5</v>
      </c>
      <c r="H15" s="106">
        <v>45839</v>
      </c>
    </row>
    <row r="16" spans="1:8" x14ac:dyDescent="0.25">
      <c r="A16" t="s">
        <v>37</v>
      </c>
      <c r="C16" s="160" t="s">
        <v>100</v>
      </c>
      <c r="D16" s="160" t="str">
        <f t="shared" si="0"/>
        <v>9Behavioral Counseling-Individual</v>
      </c>
      <c r="E16" s="72" t="s">
        <v>35</v>
      </c>
      <c r="F16" s="72"/>
      <c r="G16" s="73">
        <v>28.5</v>
      </c>
      <c r="H16" s="106">
        <v>45839</v>
      </c>
    </row>
    <row r="17" spans="1:8" x14ac:dyDescent="0.25">
      <c r="A17" t="s">
        <v>37</v>
      </c>
      <c r="B17" s="15" t="s">
        <v>151</v>
      </c>
      <c r="C17" s="160" t="s">
        <v>74</v>
      </c>
      <c r="D17" s="160" t="str">
        <f t="shared" si="0"/>
        <v>8Behavioral Counseling-IndividualDenver</v>
      </c>
      <c r="E17" s="72" t="s">
        <v>35</v>
      </c>
      <c r="F17" s="72"/>
      <c r="G17" s="73">
        <v>28.5</v>
      </c>
      <c r="H17" s="106">
        <v>45839</v>
      </c>
    </row>
    <row r="18" spans="1:8" x14ac:dyDescent="0.25">
      <c r="A18" t="s">
        <v>37</v>
      </c>
      <c r="B18" s="15" t="s">
        <v>152</v>
      </c>
      <c r="C18" s="160" t="s">
        <v>100</v>
      </c>
      <c r="D18" s="160" t="str">
        <f t="shared" si="0"/>
        <v>9Behavioral Counseling-IndividualNon-Denver</v>
      </c>
      <c r="E18" s="72" t="s">
        <v>35</v>
      </c>
      <c r="F18" s="72"/>
      <c r="G18" s="73">
        <v>28.5</v>
      </c>
      <c r="H18" s="106">
        <v>45839</v>
      </c>
    </row>
    <row r="19" spans="1:8" x14ac:dyDescent="0.25">
      <c r="A19" t="s">
        <v>37</v>
      </c>
      <c r="B19" s="15" t="s">
        <v>151</v>
      </c>
      <c r="C19" s="160" t="s">
        <v>100</v>
      </c>
      <c r="D19" s="160" t="str">
        <f t="shared" si="0"/>
        <v>9Behavioral Counseling-IndividualDenver</v>
      </c>
      <c r="E19" s="72" t="s">
        <v>35</v>
      </c>
      <c r="F19" s="72"/>
      <c r="G19" s="73">
        <v>28.5</v>
      </c>
      <c r="H19" s="106">
        <v>45839</v>
      </c>
    </row>
    <row r="20" spans="1:8" x14ac:dyDescent="0.25">
      <c r="A20" t="s">
        <v>38</v>
      </c>
      <c r="C20" s="160" t="s">
        <v>75</v>
      </c>
      <c r="D20" s="160" t="str">
        <f t="shared" si="0"/>
        <v>8Behavioral Line Staff</v>
      </c>
      <c r="E20" s="72" t="s">
        <v>35</v>
      </c>
      <c r="F20" s="72"/>
      <c r="G20" s="73">
        <v>8.08</v>
      </c>
      <c r="H20" s="106">
        <v>45839</v>
      </c>
    </row>
    <row r="21" spans="1:8" ht="13.5" customHeight="1" x14ac:dyDescent="0.25">
      <c r="A21" t="s">
        <v>38</v>
      </c>
      <c r="B21" s="15" t="s">
        <v>152</v>
      </c>
      <c r="C21" s="160" t="s">
        <v>75</v>
      </c>
      <c r="D21" s="160" t="str">
        <f t="shared" si="0"/>
        <v>8Behavioral Line StaffNon-Denver</v>
      </c>
      <c r="E21" s="72" t="s">
        <v>35</v>
      </c>
      <c r="F21" s="72"/>
      <c r="G21" s="73">
        <v>8.08</v>
      </c>
      <c r="H21" s="106">
        <v>45839</v>
      </c>
    </row>
    <row r="22" spans="1:8" x14ac:dyDescent="0.25">
      <c r="A22" t="s">
        <v>38</v>
      </c>
      <c r="B22" s="15" t="s">
        <v>151</v>
      </c>
      <c r="C22" s="160" t="s">
        <v>75</v>
      </c>
      <c r="D22" s="160" t="str">
        <f t="shared" si="0"/>
        <v>8Behavioral Line StaffDenver</v>
      </c>
      <c r="E22" s="72" t="s">
        <v>35</v>
      </c>
      <c r="F22" s="72"/>
      <c r="G22" s="73">
        <v>8.08</v>
      </c>
      <c r="H22" s="106">
        <v>45839</v>
      </c>
    </row>
    <row r="23" spans="1:8" x14ac:dyDescent="0.25">
      <c r="A23" t="s">
        <v>39</v>
      </c>
      <c r="C23" s="160" t="s">
        <v>101</v>
      </c>
      <c r="D23" s="160" t="str">
        <f t="shared" si="0"/>
        <v>9Behavioral Plan Assessment</v>
      </c>
      <c r="E23" s="72" t="s">
        <v>35</v>
      </c>
      <c r="F23" s="72"/>
      <c r="G23" s="73">
        <v>28.5</v>
      </c>
      <c r="H23" s="106">
        <v>45839</v>
      </c>
    </row>
    <row r="24" spans="1:8" x14ac:dyDescent="0.25">
      <c r="A24" t="s">
        <v>39</v>
      </c>
      <c r="B24" s="15" t="s">
        <v>152</v>
      </c>
      <c r="C24" s="160" t="s">
        <v>101</v>
      </c>
      <c r="D24" s="160" t="str">
        <f t="shared" si="0"/>
        <v>9Behavioral Plan AssessmentNon-Denver</v>
      </c>
      <c r="E24" s="72" t="s">
        <v>35</v>
      </c>
      <c r="F24" s="72"/>
      <c r="G24" s="73">
        <v>28.5</v>
      </c>
      <c r="H24" s="106">
        <v>45839</v>
      </c>
    </row>
    <row r="25" spans="1:8" x14ac:dyDescent="0.25">
      <c r="A25" t="s">
        <v>39</v>
      </c>
      <c r="C25" s="160" t="s">
        <v>76</v>
      </c>
      <c r="D25" s="160" t="str">
        <f t="shared" si="0"/>
        <v>8Behavioral Plan Assessment</v>
      </c>
      <c r="E25" s="72" t="s">
        <v>35</v>
      </c>
      <c r="F25" s="72"/>
      <c r="G25" s="73">
        <v>28.5</v>
      </c>
      <c r="H25" s="106">
        <v>45839</v>
      </c>
    </row>
    <row r="26" spans="1:8" x14ac:dyDescent="0.25">
      <c r="A26" t="s">
        <v>39</v>
      </c>
      <c r="B26" s="15" t="s">
        <v>152</v>
      </c>
      <c r="C26" s="160" t="s">
        <v>76</v>
      </c>
      <c r="D26" s="160" t="str">
        <f t="shared" si="0"/>
        <v>8Behavioral Plan AssessmentNon-Denver</v>
      </c>
      <c r="E26" s="72" t="s">
        <v>35</v>
      </c>
      <c r="F26" s="72"/>
      <c r="G26" s="73">
        <v>28.5</v>
      </c>
      <c r="H26" s="106">
        <v>45839</v>
      </c>
    </row>
    <row r="27" spans="1:8" x14ac:dyDescent="0.25">
      <c r="A27" t="s">
        <v>39</v>
      </c>
      <c r="B27" s="15" t="s">
        <v>151</v>
      </c>
      <c r="C27" s="160" t="s">
        <v>76</v>
      </c>
      <c r="D27" s="160" t="str">
        <f t="shared" si="0"/>
        <v>8Behavioral Plan AssessmentDenver</v>
      </c>
      <c r="E27" s="72" t="s">
        <v>35</v>
      </c>
      <c r="F27" s="72"/>
      <c r="G27" s="73">
        <v>28.5</v>
      </c>
      <c r="H27" s="106">
        <v>45839</v>
      </c>
    </row>
    <row r="28" spans="1:8" x14ac:dyDescent="0.25">
      <c r="A28" t="s">
        <v>39</v>
      </c>
      <c r="B28" s="15" t="s">
        <v>151</v>
      </c>
      <c r="C28" s="160" t="s">
        <v>101</v>
      </c>
      <c r="D28" s="160" t="str">
        <f t="shared" si="0"/>
        <v>9Behavioral Plan AssessmentDenver</v>
      </c>
      <c r="E28" s="72" t="s">
        <v>35</v>
      </c>
      <c r="F28" s="72"/>
      <c r="G28" s="73">
        <v>28.5</v>
      </c>
      <c r="H28" s="106">
        <v>45839</v>
      </c>
    </row>
    <row r="29" spans="1:8" x14ac:dyDescent="0.25">
      <c r="A29" t="s">
        <v>40</v>
      </c>
      <c r="C29" s="160" t="s">
        <v>77</v>
      </c>
      <c r="D29" s="160" t="str">
        <f t="shared" si="0"/>
        <v>8Homemaker-Basic</v>
      </c>
      <c r="E29" s="72" t="s">
        <v>35</v>
      </c>
      <c r="F29" s="72"/>
      <c r="G29" s="73">
        <v>6.6</v>
      </c>
      <c r="H29" s="106">
        <v>45839</v>
      </c>
    </row>
    <row r="30" spans="1:8" x14ac:dyDescent="0.25">
      <c r="A30" t="s">
        <v>40</v>
      </c>
      <c r="B30" s="15" t="s">
        <v>152</v>
      </c>
      <c r="C30" s="160" t="s">
        <v>77</v>
      </c>
      <c r="D30" s="160" t="str">
        <f t="shared" si="0"/>
        <v>8Homemaker-BasicNon-Denver</v>
      </c>
      <c r="E30" s="72" t="s">
        <v>35</v>
      </c>
      <c r="F30" s="72"/>
      <c r="G30" s="73">
        <v>6.6</v>
      </c>
      <c r="H30" s="106">
        <v>45839</v>
      </c>
    </row>
    <row r="31" spans="1:8" x14ac:dyDescent="0.25">
      <c r="A31" t="s">
        <v>40</v>
      </c>
      <c r="B31" s="15" t="s">
        <v>151</v>
      </c>
      <c r="C31" s="160" t="s">
        <v>77</v>
      </c>
      <c r="D31" s="160" t="str">
        <f t="shared" si="0"/>
        <v>8Homemaker-BasicDenver</v>
      </c>
      <c r="E31" s="72" t="s">
        <v>35</v>
      </c>
      <c r="F31" s="72"/>
      <c r="G31" s="73">
        <v>6.99</v>
      </c>
      <c r="H31" s="106">
        <v>45839</v>
      </c>
    </row>
    <row r="32" spans="1:8" x14ac:dyDescent="0.25">
      <c r="A32" t="s">
        <v>41</v>
      </c>
      <c r="C32" s="160" t="s">
        <v>78</v>
      </c>
      <c r="D32" s="160" t="str">
        <f t="shared" si="0"/>
        <v>8Homemaker-Enhanced</v>
      </c>
      <c r="E32" s="72" t="s">
        <v>35</v>
      </c>
      <c r="F32" s="72"/>
      <c r="G32" s="73">
        <v>8.59</v>
      </c>
      <c r="H32" s="106">
        <v>45839</v>
      </c>
    </row>
    <row r="33" spans="1:8" x14ac:dyDescent="0.25">
      <c r="A33" t="s">
        <v>41</v>
      </c>
      <c r="B33" s="15" t="s">
        <v>152</v>
      </c>
      <c r="C33" s="160" t="s">
        <v>78</v>
      </c>
      <c r="D33" s="160" t="str">
        <f t="shared" si="0"/>
        <v>8Homemaker-EnhancedNon-Denver</v>
      </c>
      <c r="E33" s="72" t="s">
        <v>35</v>
      </c>
      <c r="F33" s="72"/>
      <c r="G33" s="73">
        <v>8.59</v>
      </c>
      <c r="H33" s="106">
        <v>45839</v>
      </c>
    </row>
    <row r="34" spans="1:8" x14ac:dyDescent="0.25">
      <c r="A34" t="s">
        <v>41</v>
      </c>
      <c r="B34" s="15" t="s">
        <v>151</v>
      </c>
      <c r="C34" s="160" t="s">
        <v>78</v>
      </c>
      <c r="D34" s="160" t="str">
        <f t="shared" ref="D34:D64" si="1">C34&amp;B34</f>
        <v>8Homemaker-EnhancedDenver</v>
      </c>
      <c r="E34" s="72" t="s">
        <v>35</v>
      </c>
      <c r="F34" s="72"/>
      <c r="G34" s="73">
        <v>8.94</v>
      </c>
      <c r="H34" s="106">
        <v>45839</v>
      </c>
    </row>
    <row r="35" spans="1:8" x14ac:dyDescent="0.25">
      <c r="A35" t="s">
        <v>42</v>
      </c>
      <c r="C35" s="160" t="s">
        <v>102</v>
      </c>
      <c r="D35" s="160" t="str">
        <f t="shared" si="1"/>
        <v>9Job Coaching-Group</v>
      </c>
      <c r="E35" s="72" t="s">
        <v>35</v>
      </c>
      <c r="F35" s="72"/>
      <c r="G35" s="73">
        <v>9.67</v>
      </c>
      <c r="H35" s="106">
        <v>45839</v>
      </c>
    </row>
    <row r="36" spans="1:8" x14ac:dyDescent="0.25">
      <c r="A36" t="s">
        <v>42</v>
      </c>
      <c r="B36" s="15" t="s">
        <v>152</v>
      </c>
      <c r="C36" s="160" t="s">
        <v>102</v>
      </c>
      <c r="D36" s="160" t="str">
        <f t="shared" si="1"/>
        <v>9Job Coaching-GroupNon-Denver</v>
      </c>
      <c r="E36" s="72" t="s">
        <v>35</v>
      </c>
      <c r="F36" s="72"/>
      <c r="G36" s="73">
        <v>9.67</v>
      </c>
      <c r="H36" s="106">
        <v>45839</v>
      </c>
    </row>
    <row r="37" spans="1:8" x14ac:dyDescent="0.25">
      <c r="A37" t="s">
        <v>42</v>
      </c>
      <c r="C37" s="160" t="s">
        <v>79</v>
      </c>
      <c r="D37" s="160" t="str">
        <f t="shared" si="1"/>
        <v>8Job Coaching-Group</v>
      </c>
      <c r="E37" s="72" t="s">
        <v>35</v>
      </c>
      <c r="F37" s="72"/>
      <c r="G37" s="73">
        <v>6.63</v>
      </c>
      <c r="H37" s="106">
        <v>45839</v>
      </c>
    </row>
    <row r="38" spans="1:8" x14ac:dyDescent="0.25">
      <c r="A38" t="s">
        <v>42</v>
      </c>
      <c r="B38" s="15" t="s">
        <v>152</v>
      </c>
      <c r="C38" s="160" t="s">
        <v>79</v>
      </c>
      <c r="D38" s="160" t="str">
        <f t="shared" si="1"/>
        <v>8Job Coaching-GroupNon-Denver</v>
      </c>
      <c r="E38" s="72" t="s">
        <v>35</v>
      </c>
      <c r="F38" s="72"/>
      <c r="G38" s="73">
        <v>6.63</v>
      </c>
      <c r="H38" s="106">
        <v>45839</v>
      </c>
    </row>
    <row r="39" spans="1:8" x14ac:dyDescent="0.25">
      <c r="A39" t="s">
        <v>42</v>
      </c>
      <c r="B39" s="15" t="s">
        <v>151</v>
      </c>
      <c r="C39" s="160" t="s">
        <v>79</v>
      </c>
      <c r="D39" s="160" t="str">
        <f t="shared" si="1"/>
        <v>8Job Coaching-GroupDenver</v>
      </c>
      <c r="E39" s="72" t="s">
        <v>35</v>
      </c>
      <c r="F39" s="72"/>
      <c r="G39" s="73">
        <v>6.97</v>
      </c>
      <c r="H39" s="106">
        <v>45839</v>
      </c>
    </row>
    <row r="40" spans="1:8" x14ac:dyDescent="0.25">
      <c r="A40" t="s">
        <v>42</v>
      </c>
      <c r="B40" s="15" t="s">
        <v>151</v>
      </c>
      <c r="C40" s="160" t="s">
        <v>102</v>
      </c>
      <c r="D40" s="160" t="str">
        <f t="shared" si="1"/>
        <v>9Job Coaching-GroupDenver</v>
      </c>
      <c r="E40" s="72" t="s">
        <v>35</v>
      </c>
      <c r="F40" s="72"/>
      <c r="G40" s="73">
        <v>10.01</v>
      </c>
      <c r="H40" s="106">
        <v>45839</v>
      </c>
    </row>
    <row r="41" spans="1:8" x14ac:dyDescent="0.25">
      <c r="A41" t="s">
        <v>43</v>
      </c>
      <c r="C41" s="160" t="s">
        <v>103</v>
      </c>
      <c r="D41" s="160" t="str">
        <f t="shared" si="1"/>
        <v>9Job Coaching-Individual</v>
      </c>
      <c r="E41" s="72" t="s">
        <v>35</v>
      </c>
      <c r="F41" s="72"/>
      <c r="G41" s="73">
        <v>17.07</v>
      </c>
      <c r="H41" s="106">
        <v>45839</v>
      </c>
    </row>
    <row r="42" spans="1:8" x14ac:dyDescent="0.25">
      <c r="A42" t="s">
        <v>43</v>
      </c>
      <c r="C42" s="160" t="s">
        <v>80</v>
      </c>
      <c r="D42" s="160" t="str">
        <f t="shared" si="1"/>
        <v>8Job Coaching-Individual</v>
      </c>
      <c r="E42" s="72" t="s">
        <v>35</v>
      </c>
      <c r="F42" s="72"/>
      <c r="G42" s="73">
        <v>17.07</v>
      </c>
      <c r="H42" s="106">
        <v>45839</v>
      </c>
    </row>
    <row r="43" spans="1:8" x14ac:dyDescent="0.25">
      <c r="A43" t="s">
        <v>43</v>
      </c>
      <c r="B43" s="15" t="s">
        <v>152</v>
      </c>
      <c r="C43" s="160" t="s">
        <v>80</v>
      </c>
      <c r="D43" s="160" t="str">
        <f t="shared" si="1"/>
        <v>8Job Coaching-IndividualNon-Denver</v>
      </c>
      <c r="E43" s="72" t="s">
        <v>35</v>
      </c>
      <c r="F43" s="72"/>
      <c r="G43" s="73">
        <v>17.07</v>
      </c>
      <c r="H43" s="106">
        <v>45839</v>
      </c>
    </row>
    <row r="44" spans="1:8" x14ac:dyDescent="0.25">
      <c r="A44" t="s">
        <v>43</v>
      </c>
      <c r="B44" s="15" t="s">
        <v>151</v>
      </c>
      <c r="C44" s="160" t="s">
        <v>80</v>
      </c>
      <c r="D44" s="160" t="str">
        <f t="shared" si="1"/>
        <v>8Job Coaching-IndividualDenver</v>
      </c>
      <c r="E44" s="72" t="s">
        <v>35</v>
      </c>
      <c r="F44" s="72"/>
      <c r="G44" s="73">
        <v>17.399999999999999</v>
      </c>
      <c r="H44" s="106">
        <v>45839</v>
      </c>
    </row>
    <row r="45" spans="1:8" x14ac:dyDescent="0.25">
      <c r="A45" t="s">
        <v>43</v>
      </c>
      <c r="B45" s="15" t="s">
        <v>151</v>
      </c>
      <c r="C45" s="160" t="s">
        <v>103</v>
      </c>
      <c r="D45" s="160" t="str">
        <f t="shared" si="1"/>
        <v>9Job Coaching-IndividualDenver</v>
      </c>
      <c r="E45" s="72" t="s">
        <v>35</v>
      </c>
      <c r="F45" s="72"/>
      <c r="G45" s="73">
        <v>17.399999999999999</v>
      </c>
      <c r="H45" s="106">
        <v>45839</v>
      </c>
    </row>
    <row r="46" spans="1:8" x14ac:dyDescent="0.25">
      <c r="A46" t="s">
        <v>43</v>
      </c>
      <c r="B46" s="15" t="s">
        <v>152</v>
      </c>
      <c r="C46" s="160" t="s">
        <v>103</v>
      </c>
      <c r="D46" s="160" t="str">
        <f t="shared" si="1"/>
        <v>9Job Coaching-IndividualNon-Denver</v>
      </c>
      <c r="E46" s="72" t="s">
        <v>35</v>
      </c>
      <c r="F46" s="72"/>
      <c r="G46" s="73">
        <v>17.07</v>
      </c>
      <c r="H46" s="106">
        <v>45839</v>
      </c>
    </row>
    <row r="47" spans="1:8" x14ac:dyDescent="0.25">
      <c r="A47" t="s">
        <v>44</v>
      </c>
      <c r="C47" s="160" t="s">
        <v>81</v>
      </c>
      <c r="D47" s="160" t="str">
        <f t="shared" si="1"/>
        <v>8Job Development-Group</v>
      </c>
      <c r="E47" s="72" t="s">
        <v>35</v>
      </c>
      <c r="F47" s="72"/>
      <c r="G47" s="73">
        <v>6.28</v>
      </c>
      <c r="H47" s="106">
        <v>45839</v>
      </c>
    </row>
    <row r="48" spans="1:8" x14ac:dyDescent="0.25">
      <c r="A48" t="s">
        <v>44</v>
      </c>
      <c r="B48" s="15" t="s">
        <v>152</v>
      </c>
      <c r="C48" s="160" t="s">
        <v>81</v>
      </c>
      <c r="D48" s="160" t="str">
        <f t="shared" si="1"/>
        <v>8Job Development-GroupNon-Denver</v>
      </c>
      <c r="E48" s="72" t="s">
        <v>35</v>
      </c>
      <c r="F48" s="72"/>
      <c r="G48" s="73">
        <v>6.28</v>
      </c>
      <c r="H48" s="106">
        <v>45839</v>
      </c>
    </row>
    <row r="49" spans="1:8" x14ac:dyDescent="0.25">
      <c r="A49" t="s">
        <v>44</v>
      </c>
      <c r="B49" s="15" t="s">
        <v>151</v>
      </c>
      <c r="C49" s="160" t="s">
        <v>81</v>
      </c>
      <c r="D49" s="160" t="str">
        <f t="shared" si="1"/>
        <v>8Job Development-GroupDenver</v>
      </c>
      <c r="E49" s="72" t="s">
        <v>35</v>
      </c>
      <c r="F49" s="72"/>
      <c r="G49" s="73">
        <v>6.6</v>
      </c>
      <c r="H49" s="106">
        <v>45839</v>
      </c>
    </row>
    <row r="50" spans="1:8" x14ac:dyDescent="0.25">
      <c r="A50" t="s">
        <v>44</v>
      </c>
      <c r="B50" s="15" t="s">
        <v>151</v>
      </c>
      <c r="C50" s="160" t="s">
        <v>104</v>
      </c>
      <c r="D50" s="160" t="str">
        <f t="shared" si="1"/>
        <v>9Job Development-GroupDenver</v>
      </c>
      <c r="E50" s="72" t="s">
        <v>35</v>
      </c>
      <c r="F50" s="72"/>
      <c r="G50" s="73">
        <v>6.6</v>
      </c>
      <c r="H50" s="106">
        <v>45839</v>
      </c>
    </row>
    <row r="51" spans="1:8" x14ac:dyDescent="0.25">
      <c r="A51" t="s">
        <v>44</v>
      </c>
      <c r="C51" s="160" t="s">
        <v>104</v>
      </c>
      <c r="D51" s="160" t="str">
        <f t="shared" si="1"/>
        <v>9Job Development-Group</v>
      </c>
      <c r="E51" s="72" t="s">
        <v>35</v>
      </c>
      <c r="F51" s="72"/>
      <c r="G51" s="73">
        <v>6.28</v>
      </c>
      <c r="H51" s="106">
        <v>45839</v>
      </c>
    </row>
    <row r="52" spans="1:8" x14ac:dyDescent="0.25">
      <c r="A52" t="s">
        <v>44</v>
      </c>
      <c r="B52" s="15" t="s">
        <v>152</v>
      </c>
      <c r="C52" s="160" t="s">
        <v>104</v>
      </c>
      <c r="D52" s="160" t="str">
        <f t="shared" si="1"/>
        <v>9Job Development-GroupNon-Denver</v>
      </c>
      <c r="E52" s="72" t="s">
        <v>35</v>
      </c>
      <c r="F52" s="72"/>
      <c r="G52" s="73">
        <v>6.28</v>
      </c>
      <c r="H52" s="106">
        <v>45839</v>
      </c>
    </row>
    <row r="53" spans="1:8" x14ac:dyDescent="0.25">
      <c r="A53" t="s">
        <v>45</v>
      </c>
      <c r="C53" s="160" t="s">
        <v>82</v>
      </c>
      <c r="D53" s="160" t="str">
        <f t="shared" si="1"/>
        <v>8Job Development-Individual</v>
      </c>
      <c r="E53" s="72" t="s">
        <v>35</v>
      </c>
      <c r="F53" s="72"/>
      <c r="G53" s="73">
        <v>17.07</v>
      </c>
      <c r="H53" s="106">
        <v>45839</v>
      </c>
    </row>
    <row r="54" spans="1:8" x14ac:dyDescent="0.25">
      <c r="A54" t="s">
        <v>45</v>
      </c>
      <c r="B54" s="15" t="s">
        <v>152</v>
      </c>
      <c r="C54" s="160" t="s">
        <v>82</v>
      </c>
      <c r="D54" s="160" t="str">
        <f t="shared" si="1"/>
        <v>8Job Development-IndividualNon-Denver</v>
      </c>
      <c r="E54" s="72" t="s">
        <v>35</v>
      </c>
      <c r="F54" s="72"/>
      <c r="G54" s="73">
        <v>17.07</v>
      </c>
      <c r="H54" s="106">
        <v>45839</v>
      </c>
    </row>
    <row r="55" spans="1:8" x14ac:dyDescent="0.25">
      <c r="A55" t="s">
        <v>45</v>
      </c>
      <c r="B55" s="15" t="s">
        <v>151</v>
      </c>
      <c r="C55" s="160" t="s">
        <v>82</v>
      </c>
      <c r="D55" s="160" t="str">
        <f t="shared" si="1"/>
        <v>8Job Development-IndividualDenver</v>
      </c>
      <c r="E55" s="72" t="s">
        <v>35</v>
      </c>
      <c r="F55" s="72"/>
      <c r="G55" s="73">
        <v>17.399999999999999</v>
      </c>
      <c r="H55" s="106">
        <v>45839</v>
      </c>
    </row>
    <row r="56" spans="1:8" x14ac:dyDescent="0.25">
      <c r="A56" t="s">
        <v>45</v>
      </c>
      <c r="B56" s="15" t="s">
        <v>151</v>
      </c>
      <c r="C56" s="160" t="s">
        <v>105</v>
      </c>
      <c r="D56" s="160" t="str">
        <f t="shared" si="1"/>
        <v>9Job Development-IndividualDenver</v>
      </c>
      <c r="E56" s="72" t="s">
        <v>35</v>
      </c>
      <c r="F56" s="72"/>
      <c r="G56" s="73">
        <v>17.399999999999999</v>
      </c>
      <c r="H56" s="106">
        <v>45839</v>
      </c>
    </row>
    <row r="57" spans="1:8" x14ac:dyDescent="0.25">
      <c r="A57" t="s">
        <v>45</v>
      </c>
      <c r="C57" s="160" t="s">
        <v>105</v>
      </c>
      <c r="D57" s="160" t="str">
        <f t="shared" si="1"/>
        <v>9Job Development-Individual</v>
      </c>
      <c r="E57" s="72" t="s">
        <v>35</v>
      </c>
      <c r="F57" s="72"/>
      <c r="G57" s="73">
        <v>17.07</v>
      </c>
      <c r="H57" s="106">
        <v>45839</v>
      </c>
    </row>
    <row r="58" spans="1:8" x14ac:dyDescent="0.25">
      <c r="A58" t="s">
        <v>45</v>
      </c>
      <c r="B58" s="15" t="s">
        <v>152</v>
      </c>
      <c r="C58" s="160" t="s">
        <v>105</v>
      </c>
      <c r="D58" s="160" t="str">
        <f t="shared" si="1"/>
        <v>9Job Development-IndividualNon-Denver</v>
      </c>
      <c r="E58" s="72" t="s">
        <v>35</v>
      </c>
      <c r="F58" s="72"/>
      <c r="G58" s="73">
        <v>17.07</v>
      </c>
      <c r="H58" s="106">
        <v>45839</v>
      </c>
    </row>
    <row r="59" spans="1:8" x14ac:dyDescent="0.25">
      <c r="A59" t="s">
        <v>46</v>
      </c>
      <c r="C59" s="160" t="s">
        <v>83</v>
      </c>
      <c r="D59" s="160" t="str">
        <f t="shared" si="1"/>
        <v>8Massage Therapy</v>
      </c>
      <c r="E59" s="72" t="s">
        <v>35</v>
      </c>
      <c r="F59" s="72"/>
      <c r="G59" s="73">
        <v>21.32</v>
      </c>
      <c r="H59" s="106">
        <v>45839</v>
      </c>
    </row>
    <row r="60" spans="1:8" x14ac:dyDescent="0.25">
      <c r="A60" t="s">
        <v>46</v>
      </c>
      <c r="B60" s="15" t="s">
        <v>152</v>
      </c>
      <c r="C60" s="160" t="s">
        <v>83</v>
      </c>
      <c r="D60" s="160" t="str">
        <f t="shared" si="1"/>
        <v>8Massage TherapyNon-Denver</v>
      </c>
      <c r="E60" s="72" t="s">
        <v>35</v>
      </c>
      <c r="F60" s="72"/>
      <c r="G60" s="73">
        <v>21.32</v>
      </c>
      <c r="H60" s="106">
        <v>45839</v>
      </c>
    </row>
    <row r="61" spans="1:8" x14ac:dyDescent="0.25">
      <c r="A61" t="s">
        <v>46</v>
      </c>
      <c r="B61" s="15" t="s">
        <v>151</v>
      </c>
      <c r="C61" s="160" t="s">
        <v>83</v>
      </c>
      <c r="D61" s="160" t="str">
        <f t="shared" si="1"/>
        <v>8Massage TherapyDenver</v>
      </c>
      <c r="E61" s="72" t="s">
        <v>35</v>
      </c>
      <c r="F61" s="72"/>
      <c r="G61" s="73">
        <v>21.32</v>
      </c>
      <c r="H61" s="106">
        <v>45839</v>
      </c>
    </row>
    <row r="62" spans="1:8" x14ac:dyDescent="0.25">
      <c r="A62" t="s">
        <v>47</v>
      </c>
      <c r="C62" s="160" t="s">
        <v>84</v>
      </c>
      <c r="D62" s="160" t="str">
        <f t="shared" si="1"/>
        <v>8Mentorship</v>
      </c>
      <c r="E62" s="72" t="s">
        <v>35</v>
      </c>
      <c r="F62" s="72"/>
      <c r="G62" s="73">
        <v>13.39</v>
      </c>
      <c r="H62" s="106">
        <v>45839</v>
      </c>
    </row>
    <row r="63" spans="1:8" x14ac:dyDescent="0.25">
      <c r="A63" t="s">
        <v>47</v>
      </c>
      <c r="B63" s="15" t="s">
        <v>151</v>
      </c>
      <c r="C63" s="160" t="s">
        <v>84</v>
      </c>
      <c r="D63" s="160" t="str">
        <f t="shared" si="1"/>
        <v>8MentorshipDenver</v>
      </c>
      <c r="E63" s="72" t="s">
        <v>35</v>
      </c>
      <c r="F63" s="72"/>
      <c r="G63" s="73">
        <v>13.73</v>
      </c>
      <c r="H63" s="106">
        <v>45839</v>
      </c>
    </row>
    <row r="64" spans="1:8" x14ac:dyDescent="0.25">
      <c r="A64" t="s">
        <v>47</v>
      </c>
      <c r="B64" s="15" t="s">
        <v>152</v>
      </c>
      <c r="C64" s="160" t="s">
        <v>84</v>
      </c>
      <c r="D64" s="160" t="str">
        <f t="shared" si="1"/>
        <v>8MentorshipNon-Denver</v>
      </c>
      <c r="E64" s="72" t="s">
        <v>35</v>
      </c>
      <c r="F64" s="72"/>
      <c r="G64" s="73">
        <v>13.39</v>
      </c>
      <c r="H64" s="106">
        <v>45839</v>
      </c>
    </row>
    <row r="65" spans="1:8" x14ac:dyDescent="0.25">
      <c r="A65" t="s">
        <v>48</v>
      </c>
      <c r="B65" s="15" t="s">
        <v>151</v>
      </c>
      <c r="C65" s="160" t="s">
        <v>85</v>
      </c>
      <c r="D65" s="160" t="str">
        <f t="shared" ref="D65:D91" si="2">C65&amp;B65</f>
        <v>8Movement Therapy-BachelorsDenver</v>
      </c>
      <c r="E65" s="72" t="s">
        <v>35</v>
      </c>
      <c r="F65" s="72"/>
      <c r="G65" s="73">
        <v>17.78</v>
      </c>
      <c r="H65" s="106">
        <v>45839</v>
      </c>
    </row>
    <row r="66" spans="1:8" x14ac:dyDescent="0.25">
      <c r="A66" t="s">
        <v>48</v>
      </c>
      <c r="C66" s="160" t="s">
        <v>85</v>
      </c>
      <c r="D66" s="160" t="str">
        <f t="shared" si="2"/>
        <v>8Movement Therapy-Bachelors</v>
      </c>
      <c r="E66" s="72" t="s">
        <v>35</v>
      </c>
      <c r="F66" s="72"/>
      <c r="G66" s="73">
        <v>17.78</v>
      </c>
      <c r="H66" s="106">
        <v>45839</v>
      </c>
    </row>
    <row r="67" spans="1:8" x14ac:dyDescent="0.25">
      <c r="A67" t="s">
        <v>48</v>
      </c>
      <c r="B67" s="15" t="s">
        <v>152</v>
      </c>
      <c r="C67" s="160" t="s">
        <v>85</v>
      </c>
      <c r="D67" s="160" t="str">
        <f t="shared" si="2"/>
        <v>8Movement Therapy-BachelorsNon-Denver</v>
      </c>
      <c r="E67" s="72" t="s">
        <v>35</v>
      </c>
      <c r="F67" s="72"/>
      <c r="G67" s="73">
        <v>17.78</v>
      </c>
      <c r="H67" s="106">
        <v>45839</v>
      </c>
    </row>
    <row r="68" spans="1:8" x14ac:dyDescent="0.25">
      <c r="A68" t="s">
        <v>49</v>
      </c>
      <c r="B68" s="15" t="s">
        <v>151</v>
      </c>
      <c r="C68" s="160" t="s">
        <v>86</v>
      </c>
      <c r="D68" s="160" t="str">
        <f t="shared" si="2"/>
        <v>8Movement Therapy-MastersDenver</v>
      </c>
      <c r="E68" s="72" t="s">
        <v>35</v>
      </c>
      <c r="F68" s="72"/>
      <c r="G68" s="73">
        <v>26.04</v>
      </c>
      <c r="H68" s="106">
        <v>45839</v>
      </c>
    </row>
    <row r="69" spans="1:8" x14ac:dyDescent="0.25">
      <c r="A69" t="s">
        <v>49</v>
      </c>
      <c r="C69" s="160" t="s">
        <v>86</v>
      </c>
      <c r="D69" s="160" t="str">
        <f t="shared" si="2"/>
        <v>8Movement Therapy-Masters</v>
      </c>
      <c r="E69" s="72" t="s">
        <v>35</v>
      </c>
      <c r="F69" s="72"/>
      <c r="G69" s="73">
        <v>26.04</v>
      </c>
      <c r="H69" s="106">
        <v>45839</v>
      </c>
    </row>
    <row r="70" spans="1:8" x14ac:dyDescent="0.25">
      <c r="A70" t="s">
        <v>49</v>
      </c>
      <c r="B70" s="15" t="s">
        <v>152</v>
      </c>
      <c r="C70" s="160" t="s">
        <v>86</v>
      </c>
      <c r="D70" s="160" t="str">
        <f t="shared" si="2"/>
        <v>8Movement Therapy-MastersNon-Denver</v>
      </c>
      <c r="E70" s="72" t="s">
        <v>35</v>
      </c>
      <c r="F70" s="72"/>
      <c r="G70" s="73">
        <v>26.04</v>
      </c>
      <c r="H70" s="106">
        <v>45839</v>
      </c>
    </row>
    <row r="71" spans="1:8" x14ac:dyDescent="0.25">
      <c r="A71" t="s">
        <v>50</v>
      </c>
      <c r="B71" s="15" t="s">
        <v>151</v>
      </c>
      <c r="C71" s="160" t="s">
        <v>87</v>
      </c>
      <c r="D71" s="160" t="str">
        <f t="shared" si="2"/>
        <v>8Personal CareDenver</v>
      </c>
      <c r="E71" s="72" t="s">
        <v>35</v>
      </c>
      <c r="F71" s="72"/>
      <c r="G71" s="73">
        <v>7.38</v>
      </c>
      <c r="H71" s="106">
        <v>45839</v>
      </c>
    </row>
    <row r="72" spans="1:8" x14ac:dyDescent="0.25">
      <c r="A72" t="s">
        <v>50</v>
      </c>
      <c r="C72" s="160" t="s">
        <v>87</v>
      </c>
      <c r="D72" s="160" t="str">
        <f t="shared" si="2"/>
        <v>8Personal Care</v>
      </c>
      <c r="E72" s="72" t="s">
        <v>35</v>
      </c>
      <c r="F72" s="72"/>
      <c r="G72" s="73">
        <v>7.07</v>
      </c>
      <c r="H72" s="106">
        <v>45839</v>
      </c>
    </row>
    <row r="73" spans="1:8" x14ac:dyDescent="0.25">
      <c r="A73" t="s">
        <v>50</v>
      </c>
      <c r="B73" s="15" t="s">
        <v>152</v>
      </c>
      <c r="C73" s="160" t="s">
        <v>87</v>
      </c>
      <c r="D73" s="160" t="str">
        <f t="shared" si="2"/>
        <v>8Personal CareNon-Denver</v>
      </c>
      <c r="E73" s="72" t="s">
        <v>35</v>
      </c>
      <c r="F73" s="72"/>
      <c r="G73" s="73">
        <v>7.07</v>
      </c>
      <c r="H73" s="106">
        <v>45839</v>
      </c>
    </row>
    <row r="74" spans="1:8" x14ac:dyDescent="0.25">
      <c r="A74" t="s">
        <v>51</v>
      </c>
      <c r="B74" s="15" t="s">
        <v>151</v>
      </c>
      <c r="C74" s="160" t="s">
        <v>88</v>
      </c>
      <c r="D74" s="160" t="str">
        <f t="shared" si="2"/>
        <v>8Prevocational ServicesDenver</v>
      </c>
      <c r="E74" s="72" t="s">
        <v>35</v>
      </c>
      <c r="F74" s="72"/>
      <c r="G74" s="73">
        <v>5.7</v>
      </c>
      <c r="H74" s="106">
        <v>45839</v>
      </c>
    </row>
    <row r="75" spans="1:8" x14ac:dyDescent="0.25">
      <c r="A75" t="s">
        <v>51</v>
      </c>
      <c r="C75" s="160" t="s">
        <v>88</v>
      </c>
      <c r="D75" s="160" t="str">
        <f t="shared" si="2"/>
        <v>8Prevocational Services</v>
      </c>
      <c r="E75" s="72" t="s">
        <v>35</v>
      </c>
      <c r="F75" s="72"/>
      <c r="G75" s="73">
        <v>5.36</v>
      </c>
      <c r="H75" s="106">
        <v>45839</v>
      </c>
    </row>
    <row r="76" spans="1:8" x14ac:dyDescent="0.25">
      <c r="A76" t="s">
        <v>51</v>
      </c>
      <c r="B76" s="15" t="s">
        <v>152</v>
      </c>
      <c r="C76" s="160" t="s">
        <v>88</v>
      </c>
      <c r="D76" s="160" t="str">
        <f t="shared" si="2"/>
        <v>8Prevocational ServicesNon-Denver</v>
      </c>
      <c r="E76" s="72" t="s">
        <v>35</v>
      </c>
      <c r="F76" s="72"/>
      <c r="G76" s="73">
        <v>5.36</v>
      </c>
      <c r="H76" s="106">
        <v>45839</v>
      </c>
    </row>
    <row r="77" spans="1:8" x14ac:dyDescent="0.25">
      <c r="A77" t="s">
        <v>52</v>
      </c>
      <c r="B77" s="15" t="s">
        <v>151</v>
      </c>
      <c r="C77" s="160" t="s">
        <v>89</v>
      </c>
      <c r="D77" s="160" t="str">
        <f t="shared" si="2"/>
        <v>8Respite Individual-15 MinsDenver</v>
      </c>
      <c r="E77" s="72" t="s">
        <v>35</v>
      </c>
      <c r="F77" s="72"/>
      <c r="G77" s="73">
        <v>7.71</v>
      </c>
      <c r="H77" s="106">
        <v>45839</v>
      </c>
    </row>
    <row r="78" spans="1:8" x14ac:dyDescent="0.25">
      <c r="A78" t="s">
        <v>52</v>
      </c>
      <c r="C78" s="160" t="s">
        <v>89</v>
      </c>
      <c r="D78" s="160" t="str">
        <f t="shared" si="2"/>
        <v>8Respite Individual-15 Mins</v>
      </c>
      <c r="E78" s="72" t="s">
        <v>35</v>
      </c>
      <c r="F78" s="72"/>
      <c r="G78" s="73">
        <v>7.39</v>
      </c>
      <c r="H78" s="106">
        <v>45839</v>
      </c>
    </row>
    <row r="79" spans="1:8" x14ac:dyDescent="0.25">
      <c r="A79" t="s">
        <v>52</v>
      </c>
      <c r="B79" s="15" t="s">
        <v>152</v>
      </c>
      <c r="C79" s="160" t="s">
        <v>89</v>
      </c>
      <c r="D79" s="160" t="str">
        <f t="shared" si="2"/>
        <v>8Respite Individual-15 MinsNon-Denver</v>
      </c>
      <c r="E79" s="72" t="s">
        <v>35</v>
      </c>
      <c r="F79" s="72"/>
      <c r="G79" s="73">
        <v>7.39</v>
      </c>
      <c r="H79" s="106">
        <v>45839</v>
      </c>
    </row>
    <row r="80" spans="1:8" x14ac:dyDescent="0.25">
      <c r="A80" s="15" t="s">
        <v>53</v>
      </c>
      <c r="B80" s="15" t="s">
        <v>151</v>
      </c>
      <c r="C80" s="160" t="s">
        <v>90</v>
      </c>
      <c r="D80" s="160" t="str">
        <f t="shared" si="2"/>
        <v>8Respite Individual-DayDenver</v>
      </c>
      <c r="E80" s="72" t="s">
        <v>71</v>
      </c>
      <c r="F80" s="72"/>
      <c r="G80" s="73">
        <v>339.23</v>
      </c>
      <c r="H80" s="106">
        <v>45839</v>
      </c>
    </row>
    <row r="81" spans="1:8" x14ac:dyDescent="0.25">
      <c r="A81" s="15" t="s">
        <v>53</v>
      </c>
      <c r="B81" s="15"/>
      <c r="C81" s="160" t="s">
        <v>90</v>
      </c>
      <c r="D81" s="160" t="str">
        <f t="shared" si="2"/>
        <v>8Respite Individual-Day</v>
      </c>
      <c r="E81" s="72" t="s">
        <v>71</v>
      </c>
      <c r="F81" s="72"/>
      <c r="G81" s="73">
        <v>316.33</v>
      </c>
      <c r="H81" s="106">
        <v>45839</v>
      </c>
    </row>
    <row r="82" spans="1:8" x14ac:dyDescent="0.25">
      <c r="A82" s="15" t="s">
        <v>53</v>
      </c>
      <c r="B82" s="15" t="s">
        <v>152</v>
      </c>
      <c r="C82" s="160" t="s">
        <v>90</v>
      </c>
      <c r="D82" s="160" t="str">
        <f t="shared" si="2"/>
        <v>8Respite Individual-DayNon-Denver</v>
      </c>
      <c r="E82" s="72" t="s">
        <v>71</v>
      </c>
      <c r="F82" s="72"/>
      <c r="G82" s="73">
        <v>316.33</v>
      </c>
      <c r="H82" s="106">
        <v>45839</v>
      </c>
    </row>
    <row r="83" spans="1:8" x14ac:dyDescent="0.25">
      <c r="A83" t="s">
        <v>54</v>
      </c>
      <c r="B83" s="15" t="s">
        <v>151</v>
      </c>
      <c r="C83" s="160" t="s">
        <v>96</v>
      </c>
      <c r="D83" s="160" t="str">
        <f t="shared" si="2"/>
        <v>9Specialized HabilitationDenver</v>
      </c>
      <c r="E83" s="72" t="s">
        <v>35</v>
      </c>
      <c r="F83" s="72"/>
      <c r="G83" s="73">
        <v>8.91</v>
      </c>
      <c r="H83" s="106">
        <v>45839</v>
      </c>
    </row>
    <row r="84" spans="1:8" x14ac:dyDescent="0.25">
      <c r="A84" t="s">
        <v>54</v>
      </c>
      <c r="B84" s="15" t="s">
        <v>151</v>
      </c>
      <c r="C84" s="160" t="s">
        <v>91</v>
      </c>
      <c r="D84" s="160" t="str">
        <f t="shared" si="2"/>
        <v>8Specialized HabilitationDenver</v>
      </c>
      <c r="E84" s="72" t="s">
        <v>35</v>
      </c>
      <c r="F84" s="72"/>
      <c r="G84" s="73">
        <v>5.7</v>
      </c>
      <c r="H84" s="106">
        <v>45839</v>
      </c>
    </row>
    <row r="85" spans="1:8" x14ac:dyDescent="0.25">
      <c r="A85" t="s">
        <v>54</v>
      </c>
      <c r="C85" s="160" t="s">
        <v>96</v>
      </c>
      <c r="D85" s="160" t="str">
        <f t="shared" si="2"/>
        <v>9Specialized Habilitation</v>
      </c>
      <c r="E85" s="72" t="s">
        <v>35</v>
      </c>
      <c r="F85" s="72"/>
      <c r="G85" s="73">
        <v>8.58</v>
      </c>
      <c r="H85" s="106">
        <v>45839</v>
      </c>
    </row>
    <row r="86" spans="1:8" x14ac:dyDescent="0.25">
      <c r="A86" t="s">
        <v>54</v>
      </c>
      <c r="C86" s="160" t="s">
        <v>91</v>
      </c>
      <c r="D86" s="160" t="str">
        <f t="shared" si="2"/>
        <v>8Specialized Habilitation</v>
      </c>
      <c r="E86" s="72" t="s">
        <v>35</v>
      </c>
      <c r="F86" s="72"/>
      <c r="G86" s="73">
        <v>5.36</v>
      </c>
      <c r="H86" s="106">
        <v>45839</v>
      </c>
    </row>
    <row r="87" spans="1:8" x14ac:dyDescent="0.25">
      <c r="A87" t="s">
        <v>54</v>
      </c>
      <c r="B87" s="15" t="s">
        <v>152</v>
      </c>
      <c r="C87" s="160" t="s">
        <v>91</v>
      </c>
      <c r="D87" s="160" t="str">
        <f t="shared" si="2"/>
        <v>8Specialized HabilitationNon-Denver</v>
      </c>
      <c r="E87" s="72" t="s">
        <v>35</v>
      </c>
      <c r="F87" s="72"/>
      <c r="G87" s="73">
        <v>5.36</v>
      </c>
      <c r="H87" s="106">
        <v>45839</v>
      </c>
    </row>
    <row r="88" spans="1:8" x14ac:dyDescent="0.25">
      <c r="A88" t="s">
        <v>54</v>
      </c>
      <c r="B88" s="15" t="s">
        <v>152</v>
      </c>
      <c r="C88" s="160" t="s">
        <v>96</v>
      </c>
      <c r="D88" s="160" t="str">
        <f t="shared" si="2"/>
        <v>9Specialized HabilitationNon-Denver</v>
      </c>
      <c r="E88" s="72" t="s">
        <v>35</v>
      </c>
      <c r="F88" s="72"/>
      <c r="G88" s="73">
        <v>8.58</v>
      </c>
      <c r="H88" s="106">
        <v>45839</v>
      </c>
    </row>
    <row r="89" spans="1:8" x14ac:dyDescent="0.25">
      <c r="A89" t="s">
        <v>55</v>
      </c>
      <c r="B89" s="15" t="s">
        <v>151</v>
      </c>
      <c r="C89" s="160" t="s">
        <v>97</v>
      </c>
      <c r="D89" s="160" t="str">
        <f t="shared" si="2"/>
        <v>9Supported Community ConnectionsDenver</v>
      </c>
      <c r="E89" s="72" t="s">
        <v>35</v>
      </c>
      <c r="F89" s="72"/>
      <c r="G89" s="73">
        <v>9.41</v>
      </c>
      <c r="H89" s="106">
        <v>45839</v>
      </c>
    </row>
    <row r="90" spans="1:8" x14ac:dyDescent="0.25">
      <c r="A90" t="s">
        <v>55</v>
      </c>
      <c r="B90" s="15" t="s">
        <v>151</v>
      </c>
      <c r="C90" s="160" t="s">
        <v>92</v>
      </c>
      <c r="D90" s="160" t="str">
        <f t="shared" si="2"/>
        <v>8Supported Community ConnectionsDenver</v>
      </c>
      <c r="E90" s="72" t="s">
        <v>35</v>
      </c>
      <c r="F90" s="72"/>
      <c r="G90" s="73">
        <v>6.5</v>
      </c>
      <c r="H90" s="106">
        <v>45839</v>
      </c>
    </row>
    <row r="91" spans="1:8" x14ac:dyDescent="0.25">
      <c r="A91" t="s">
        <v>55</v>
      </c>
      <c r="C91" s="160" t="s">
        <v>92</v>
      </c>
      <c r="D91" s="160" t="str">
        <f t="shared" si="2"/>
        <v>8Supported Community Connections</v>
      </c>
      <c r="E91" s="72" t="s">
        <v>35</v>
      </c>
      <c r="F91" s="72"/>
      <c r="G91" s="73">
        <v>6.17</v>
      </c>
      <c r="H91" s="106">
        <v>45839</v>
      </c>
    </row>
    <row r="92" spans="1:8" x14ac:dyDescent="0.25">
      <c r="A92" t="s">
        <v>55</v>
      </c>
      <c r="B92" s="15" t="s">
        <v>152</v>
      </c>
      <c r="C92" s="160" t="s">
        <v>92</v>
      </c>
      <c r="D92" s="160" t="str">
        <f t="shared" ref="D92:D104" si="3">C92&amp;B92</f>
        <v>8Supported Community ConnectionsNon-Denver</v>
      </c>
      <c r="E92" s="72" t="s">
        <v>35</v>
      </c>
      <c r="F92" s="72"/>
      <c r="G92" s="73">
        <v>6.17</v>
      </c>
      <c r="H92" s="106">
        <v>45839</v>
      </c>
    </row>
    <row r="93" spans="1:8" x14ac:dyDescent="0.25">
      <c r="A93" t="s">
        <v>55</v>
      </c>
      <c r="C93" s="160" t="s">
        <v>97</v>
      </c>
      <c r="D93" s="160" t="str">
        <f t="shared" si="3"/>
        <v>9Supported Community Connections</v>
      </c>
      <c r="E93" s="72" t="s">
        <v>35</v>
      </c>
      <c r="F93" s="72"/>
      <c r="G93" s="73">
        <v>9.07</v>
      </c>
      <c r="H93" s="106">
        <v>45839</v>
      </c>
    </row>
    <row r="94" spans="1:8" x14ac:dyDescent="0.25">
      <c r="A94" t="s">
        <v>55</v>
      </c>
      <c r="B94" s="15" t="s">
        <v>152</v>
      </c>
      <c r="C94" s="160" t="s">
        <v>97</v>
      </c>
      <c r="D94" s="160" t="str">
        <f t="shared" si="3"/>
        <v>9Supported Community ConnectionsNon-Denver</v>
      </c>
      <c r="E94" s="72" t="s">
        <v>35</v>
      </c>
      <c r="F94" s="72"/>
      <c r="G94" s="73">
        <v>9.07</v>
      </c>
      <c r="H94" s="106">
        <v>45839</v>
      </c>
    </row>
    <row r="95" spans="1:8" x14ac:dyDescent="0.25">
      <c r="A95" t="s">
        <v>66</v>
      </c>
      <c r="B95" s="15" t="s">
        <v>151</v>
      </c>
      <c r="C95" s="160" t="s">
        <v>93</v>
      </c>
      <c r="D95" s="160" t="str">
        <f t="shared" si="3"/>
        <v>8Supported Employment- Benefits PlanningDenver</v>
      </c>
      <c r="E95" s="72" t="s">
        <v>35</v>
      </c>
      <c r="F95" s="72"/>
      <c r="G95" s="73">
        <v>26.9</v>
      </c>
      <c r="H95" s="106">
        <v>45839</v>
      </c>
    </row>
    <row r="96" spans="1:8" x14ac:dyDescent="0.25">
      <c r="A96" t="s">
        <v>66</v>
      </c>
      <c r="C96" s="160" t="s">
        <v>93</v>
      </c>
      <c r="D96" s="160" t="str">
        <f t="shared" si="3"/>
        <v>8Supported Employment- Benefits Planning</v>
      </c>
      <c r="E96" s="72" t="s">
        <v>35</v>
      </c>
      <c r="F96" s="72"/>
      <c r="G96" s="73">
        <v>26.9</v>
      </c>
      <c r="H96" s="106">
        <v>45839</v>
      </c>
    </row>
    <row r="97" spans="1:8" x14ac:dyDescent="0.25">
      <c r="A97" t="s">
        <v>66</v>
      </c>
      <c r="B97" s="15" t="s">
        <v>152</v>
      </c>
      <c r="C97" s="160" t="s">
        <v>93</v>
      </c>
      <c r="D97" s="160" t="str">
        <f t="shared" si="3"/>
        <v>8Supported Employment- Benefits PlanningNon-Denver</v>
      </c>
      <c r="E97" s="72" t="s">
        <v>35</v>
      </c>
      <c r="F97" s="72"/>
      <c r="G97" s="73">
        <v>26.9</v>
      </c>
      <c r="H97" s="106">
        <v>45839</v>
      </c>
    </row>
    <row r="98" spans="1:8" x14ac:dyDescent="0.25">
      <c r="A98" t="s">
        <v>67</v>
      </c>
      <c r="B98" s="15" t="s">
        <v>151</v>
      </c>
      <c r="C98" s="160" t="s">
        <v>94</v>
      </c>
      <c r="D98" s="160" t="str">
        <f t="shared" si="3"/>
        <v>8Supported Employment- Workplace AssistanceDenver</v>
      </c>
      <c r="E98" s="72" t="s">
        <v>35</v>
      </c>
      <c r="F98" s="72"/>
      <c r="G98" s="73">
        <v>15.19</v>
      </c>
      <c r="H98" s="106">
        <v>45839</v>
      </c>
    </row>
    <row r="99" spans="1:8" x14ac:dyDescent="0.25">
      <c r="A99" t="s">
        <v>67</v>
      </c>
      <c r="C99" s="160" t="s">
        <v>94</v>
      </c>
      <c r="D99" s="160" t="str">
        <f t="shared" si="3"/>
        <v>8Supported Employment- Workplace Assistance</v>
      </c>
      <c r="E99" s="72" t="s">
        <v>35</v>
      </c>
      <c r="F99" s="72"/>
      <c r="G99" s="73">
        <v>15.19</v>
      </c>
      <c r="H99" s="106">
        <v>45839</v>
      </c>
    </row>
    <row r="100" spans="1:8" x14ac:dyDescent="0.25">
      <c r="A100" t="s">
        <v>67</v>
      </c>
      <c r="B100" s="15" t="s">
        <v>152</v>
      </c>
      <c r="C100" s="160" t="s">
        <v>94</v>
      </c>
      <c r="D100" s="160" t="str">
        <f t="shared" si="3"/>
        <v>8Supported Employment- Workplace AssistanceNon-Denver</v>
      </c>
      <c r="E100" s="72" t="s">
        <v>35</v>
      </c>
      <c r="F100" s="72"/>
      <c r="G100" s="73">
        <v>15.19</v>
      </c>
      <c r="H100" s="106">
        <v>45839</v>
      </c>
    </row>
    <row r="101" spans="1:8" x14ac:dyDescent="0.25">
      <c r="A101" t="s">
        <v>65</v>
      </c>
      <c r="B101" s="15" t="s">
        <v>151</v>
      </c>
      <c r="C101" s="160" t="s">
        <v>95</v>
      </c>
      <c r="D101" s="160" t="str">
        <f t="shared" si="3"/>
        <v>8Transportation (Non-Medical)Denver</v>
      </c>
      <c r="E101" s="72" t="s">
        <v>70</v>
      </c>
      <c r="F101" s="72"/>
      <c r="G101" s="73">
        <v>26.34</v>
      </c>
      <c r="H101" s="106">
        <v>45839</v>
      </c>
    </row>
    <row r="102" spans="1:8" x14ac:dyDescent="0.25">
      <c r="A102" t="s">
        <v>65</v>
      </c>
      <c r="C102" s="160" t="s">
        <v>95</v>
      </c>
      <c r="D102" s="160" t="str">
        <f t="shared" si="3"/>
        <v>8Transportation (Non-Medical)</v>
      </c>
      <c r="E102" s="72" t="s">
        <v>70</v>
      </c>
      <c r="F102" s="72"/>
      <c r="G102" s="73">
        <v>25.18</v>
      </c>
      <c r="H102" s="106">
        <v>45839</v>
      </c>
    </row>
    <row r="103" spans="1:8" x14ac:dyDescent="0.25">
      <c r="A103" t="s">
        <v>65</v>
      </c>
      <c r="B103" s="15" t="s">
        <v>152</v>
      </c>
      <c r="C103" s="160" t="s">
        <v>95</v>
      </c>
      <c r="D103" s="160" t="str">
        <f t="shared" si="3"/>
        <v>8Transportation (Non-Medical)Non-Denver</v>
      </c>
      <c r="E103" s="72" t="s">
        <v>70</v>
      </c>
      <c r="F103" s="72"/>
      <c r="G103" s="73">
        <v>25.18</v>
      </c>
      <c r="H103" s="106">
        <v>45839</v>
      </c>
    </row>
    <row r="104" spans="1:8" x14ac:dyDescent="0.25">
      <c r="A104" t="s">
        <v>65</v>
      </c>
      <c r="B104" s="72" t="s">
        <v>151</v>
      </c>
      <c r="C104" s="160" t="s">
        <v>161</v>
      </c>
      <c r="D104" s="160" t="str">
        <f t="shared" si="3"/>
        <v>9Transportation (Non-Medical)Denver</v>
      </c>
      <c r="E104" s="72" t="s">
        <v>70</v>
      </c>
      <c r="F104" s="73"/>
      <c r="G104" s="73">
        <v>26.34</v>
      </c>
    </row>
    <row r="105" spans="1:8" x14ac:dyDescent="0.25">
      <c r="A105" t="s">
        <v>65</v>
      </c>
      <c r="B105" s="72"/>
      <c r="C105" s="160" t="s">
        <v>161</v>
      </c>
      <c r="D105" s="160" t="str">
        <f t="shared" ref="D105:D106" si="4">C105&amp;B105</f>
        <v>9Transportation (Non-Medical)</v>
      </c>
      <c r="E105" s="72" t="s">
        <v>70</v>
      </c>
      <c r="F105" s="73"/>
      <c r="G105" s="73">
        <v>25.18</v>
      </c>
    </row>
    <row r="106" spans="1:8" x14ac:dyDescent="0.25">
      <c r="A106" t="s">
        <v>65</v>
      </c>
      <c r="B106" s="72" t="s">
        <v>152</v>
      </c>
      <c r="C106" s="160" t="s">
        <v>161</v>
      </c>
      <c r="D106" s="160" t="str">
        <f t="shared" si="4"/>
        <v>9Transportation (Non-Medical)Non-Denver</v>
      </c>
      <c r="E106" s="72" t="s">
        <v>70</v>
      </c>
      <c r="F106" s="73"/>
      <c r="G106" s="73">
        <v>25.18</v>
      </c>
    </row>
    <row r="107" spans="1:8" x14ac:dyDescent="0.25">
      <c r="A107" t="s">
        <v>162</v>
      </c>
      <c r="B107" s="72" t="s">
        <v>151</v>
      </c>
      <c r="C107" s="160" t="str">
        <f>8&amp;A107</f>
        <v>8Mileage Band 1 (0-10 Miles)</v>
      </c>
      <c r="D107" s="160" t="str">
        <f t="shared" ref="D107:D124" si="5">C107&amp;B107</f>
        <v>8Mileage Band 1 (0-10 Miles)Denver</v>
      </c>
      <c r="E107" s="72" t="s">
        <v>70</v>
      </c>
      <c r="F107" s="73"/>
      <c r="G107">
        <v>14.26</v>
      </c>
    </row>
    <row r="108" spans="1:8" x14ac:dyDescent="0.25">
      <c r="A108" t="s">
        <v>162</v>
      </c>
      <c r="B108" s="72" t="s">
        <v>151</v>
      </c>
      <c r="C108" s="160" t="str">
        <f>9&amp;A108</f>
        <v>9Mileage Band 1 (0-10 Miles)</v>
      </c>
      <c r="D108" s="160" t="str">
        <f t="shared" si="5"/>
        <v>9Mileage Band 1 (0-10 Miles)Denver</v>
      </c>
      <c r="E108" s="72" t="s">
        <v>70</v>
      </c>
      <c r="F108" s="162"/>
      <c r="G108">
        <v>14.26</v>
      </c>
    </row>
    <row r="109" spans="1:8" x14ac:dyDescent="0.25">
      <c r="A109" t="s">
        <v>162</v>
      </c>
      <c r="B109" s="72" t="s">
        <v>152</v>
      </c>
      <c r="C109" s="160" t="str">
        <f>8&amp;A109</f>
        <v>8Mileage Band 1 (0-10 Miles)</v>
      </c>
      <c r="D109" s="160" t="str">
        <f t="shared" si="5"/>
        <v>8Mileage Band 1 (0-10 Miles)Non-Denver</v>
      </c>
      <c r="E109" s="72" t="s">
        <v>70</v>
      </c>
      <c r="F109" s="73"/>
      <c r="G109">
        <v>13.62</v>
      </c>
    </row>
    <row r="110" spans="1:8" x14ac:dyDescent="0.25">
      <c r="A110" t="s">
        <v>162</v>
      </c>
      <c r="B110" s="72" t="s">
        <v>152</v>
      </c>
      <c r="C110" s="160" t="str">
        <f>9&amp;A110</f>
        <v>9Mileage Band 1 (0-10 Miles)</v>
      </c>
      <c r="D110" s="160" t="str">
        <f t="shared" si="5"/>
        <v>9Mileage Band 1 (0-10 Miles)Non-Denver</v>
      </c>
      <c r="E110" s="72" t="s">
        <v>70</v>
      </c>
      <c r="F110" s="162"/>
      <c r="G110">
        <v>13.62</v>
      </c>
    </row>
    <row r="111" spans="1:8" x14ac:dyDescent="0.25">
      <c r="A111" t="s">
        <v>162</v>
      </c>
      <c r="B111" s="72"/>
      <c r="C111" s="160" t="str">
        <f>8&amp;A111</f>
        <v>8Mileage Band 1 (0-10 Miles)</v>
      </c>
      <c r="D111" s="160" t="str">
        <f t="shared" si="5"/>
        <v>8Mileage Band 1 (0-10 Miles)</v>
      </c>
      <c r="E111" s="72" t="s">
        <v>70</v>
      </c>
      <c r="F111" s="73"/>
      <c r="G111">
        <v>13.62</v>
      </c>
    </row>
    <row r="112" spans="1:8" x14ac:dyDescent="0.25">
      <c r="A112" t="s">
        <v>162</v>
      </c>
      <c r="B112" s="72"/>
      <c r="C112" s="160" t="str">
        <f>9&amp;A112</f>
        <v>9Mileage Band 1 (0-10 Miles)</v>
      </c>
      <c r="D112" s="160" t="str">
        <f t="shared" si="5"/>
        <v>9Mileage Band 1 (0-10 Miles)</v>
      </c>
      <c r="E112" s="72" t="s">
        <v>70</v>
      </c>
      <c r="F112" s="162"/>
      <c r="G112">
        <v>13.62</v>
      </c>
    </row>
    <row r="113" spans="1:7" x14ac:dyDescent="0.25">
      <c r="A113" t="s">
        <v>163</v>
      </c>
      <c r="B113" s="72" t="s">
        <v>151</v>
      </c>
      <c r="C113" s="160" t="str">
        <f>8&amp;A113</f>
        <v>8Mileage Band 2 (11-20 Miles)</v>
      </c>
      <c r="D113" s="160" t="str">
        <f t="shared" si="5"/>
        <v>8Mileage Band 2 (11-20 Miles)Denver</v>
      </c>
      <c r="E113" s="72" t="s">
        <v>70</v>
      </c>
      <c r="F113" s="163"/>
      <c r="G113">
        <v>26.34</v>
      </c>
    </row>
    <row r="114" spans="1:7" x14ac:dyDescent="0.25">
      <c r="A114" t="s">
        <v>163</v>
      </c>
      <c r="B114" s="72" t="s">
        <v>151</v>
      </c>
      <c r="C114" s="160" t="str">
        <f>9&amp;A114</f>
        <v>9Mileage Band 2 (11-20 Miles)</v>
      </c>
      <c r="D114" s="160" t="str">
        <f t="shared" si="5"/>
        <v>9Mileage Band 2 (11-20 Miles)Denver</v>
      </c>
      <c r="E114" s="72" t="s">
        <v>70</v>
      </c>
      <c r="F114" s="163"/>
      <c r="G114">
        <v>26.34</v>
      </c>
    </row>
    <row r="115" spans="1:7" x14ac:dyDescent="0.25">
      <c r="A115" t="s">
        <v>163</v>
      </c>
      <c r="B115" s="72" t="s">
        <v>152</v>
      </c>
      <c r="C115" s="160" t="str">
        <f>8&amp;A115</f>
        <v>8Mileage Band 2 (11-20 Miles)</v>
      </c>
      <c r="D115" s="160" t="str">
        <f t="shared" si="5"/>
        <v>8Mileage Band 2 (11-20 Miles)Non-Denver</v>
      </c>
      <c r="E115" s="72" t="s">
        <v>70</v>
      </c>
      <c r="F115" s="163"/>
      <c r="G115">
        <v>25.18</v>
      </c>
    </row>
    <row r="116" spans="1:7" x14ac:dyDescent="0.25">
      <c r="A116" t="s">
        <v>163</v>
      </c>
      <c r="B116" s="72" t="s">
        <v>152</v>
      </c>
      <c r="C116" s="160" t="str">
        <f>9&amp;A116</f>
        <v>9Mileage Band 2 (11-20 Miles)</v>
      </c>
      <c r="D116" s="160" t="str">
        <f t="shared" si="5"/>
        <v>9Mileage Band 2 (11-20 Miles)Non-Denver</v>
      </c>
      <c r="E116" s="72" t="s">
        <v>70</v>
      </c>
      <c r="G116">
        <v>25.18</v>
      </c>
    </row>
    <row r="117" spans="1:7" x14ac:dyDescent="0.25">
      <c r="A117" t="s">
        <v>163</v>
      </c>
      <c r="B117" s="72"/>
      <c r="C117" s="161" t="str">
        <f>8&amp;A117</f>
        <v>8Mileage Band 2 (11-20 Miles)</v>
      </c>
      <c r="D117" s="160" t="str">
        <f t="shared" si="5"/>
        <v>8Mileage Band 2 (11-20 Miles)</v>
      </c>
      <c r="E117" s="72" t="s">
        <v>70</v>
      </c>
      <c r="G117">
        <v>25.18</v>
      </c>
    </row>
    <row r="118" spans="1:7" x14ac:dyDescent="0.25">
      <c r="A118" t="s">
        <v>163</v>
      </c>
      <c r="B118" s="72"/>
      <c r="C118" s="161" t="str">
        <f>9&amp;A118</f>
        <v>9Mileage Band 2 (11-20 Miles)</v>
      </c>
      <c r="D118" s="160" t="str">
        <f t="shared" si="5"/>
        <v>9Mileage Band 2 (11-20 Miles)</v>
      </c>
      <c r="E118" s="72" t="s">
        <v>70</v>
      </c>
      <c r="G118">
        <v>25.18</v>
      </c>
    </row>
    <row r="119" spans="1:7" x14ac:dyDescent="0.25">
      <c r="A119" t="s">
        <v>164</v>
      </c>
      <c r="B119" s="72" t="s">
        <v>151</v>
      </c>
      <c r="C119" s="161" t="str">
        <f>8&amp;A119</f>
        <v>8Mileage Band 3 (Over 20 Miles)</v>
      </c>
      <c r="D119" s="160" t="str">
        <f t="shared" si="5"/>
        <v>8Mileage Band 3 (Over 20 Miles)Denver</v>
      </c>
      <c r="E119" s="72" t="s">
        <v>70</v>
      </c>
      <c r="F119" s="71"/>
      <c r="G119">
        <v>35.9</v>
      </c>
    </row>
    <row r="120" spans="1:7" x14ac:dyDescent="0.25">
      <c r="A120" t="s">
        <v>164</v>
      </c>
      <c r="B120" s="72" t="s">
        <v>151</v>
      </c>
      <c r="C120" s="161" t="str">
        <f>9&amp;A120</f>
        <v>9Mileage Band 3 (Over 20 Miles)</v>
      </c>
      <c r="D120" s="160" t="str">
        <f t="shared" si="5"/>
        <v>9Mileage Band 3 (Over 20 Miles)Denver</v>
      </c>
      <c r="E120" s="72" t="s">
        <v>70</v>
      </c>
      <c r="G120">
        <v>35.9</v>
      </c>
    </row>
    <row r="121" spans="1:7" x14ac:dyDescent="0.25">
      <c r="A121" t="s">
        <v>164</v>
      </c>
      <c r="B121" s="72" t="s">
        <v>152</v>
      </c>
      <c r="C121" s="161" t="str">
        <f>8&amp;A121</f>
        <v>8Mileage Band 3 (Over 20 Miles)</v>
      </c>
      <c r="D121" s="160" t="str">
        <f t="shared" si="5"/>
        <v>8Mileage Band 3 (Over 20 Miles)Non-Denver</v>
      </c>
      <c r="E121" s="72" t="s">
        <v>70</v>
      </c>
      <c r="G121">
        <v>34.39</v>
      </c>
    </row>
    <row r="122" spans="1:7" x14ac:dyDescent="0.25">
      <c r="A122" t="s">
        <v>164</v>
      </c>
      <c r="B122" s="72" t="s">
        <v>152</v>
      </c>
      <c r="C122" s="161" t="str">
        <f>9&amp;A122</f>
        <v>9Mileage Band 3 (Over 20 Miles)</v>
      </c>
      <c r="D122" s="160" t="str">
        <f t="shared" si="5"/>
        <v>9Mileage Band 3 (Over 20 Miles)Non-Denver</v>
      </c>
      <c r="E122" s="72" t="s">
        <v>70</v>
      </c>
      <c r="G122">
        <v>34.39</v>
      </c>
    </row>
    <row r="123" spans="1:7" x14ac:dyDescent="0.25">
      <c r="A123" t="s">
        <v>164</v>
      </c>
      <c r="B123" s="72"/>
      <c r="C123" s="161" t="str">
        <f>8&amp;A123</f>
        <v>8Mileage Band 3 (Over 20 Miles)</v>
      </c>
      <c r="D123" s="160" t="str">
        <f t="shared" si="5"/>
        <v>8Mileage Band 3 (Over 20 Miles)</v>
      </c>
      <c r="E123" s="72" t="s">
        <v>70</v>
      </c>
      <c r="G123">
        <v>34.39</v>
      </c>
    </row>
    <row r="124" spans="1:7" x14ac:dyDescent="0.25">
      <c r="A124" t="s">
        <v>164</v>
      </c>
      <c r="B124" s="72"/>
      <c r="C124" s="161" t="str">
        <f>9&amp;A124</f>
        <v>9Mileage Band 3 (Over 20 Miles)</v>
      </c>
      <c r="D124" s="160" t="str">
        <f t="shared" si="5"/>
        <v>9Mileage Band 3 (Over 20 Miles)</v>
      </c>
      <c r="E124" s="72" t="s">
        <v>70</v>
      </c>
      <c r="G124">
        <v>34.39</v>
      </c>
    </row>
  </sheetData>
  <sheetProtection algorithmName="SHA-512" hashValue="el6xhrnqr/uQerTbIa00X9bOiiOuO+++LFNpQUbAtauKtcIYPgognVXEjaoSyCkc/m9Duj+NrnJSHARFQvk+Nw==" saltValue="yIIpSDpYtNJ5o41qRCV5KA==" spinCount="100000" sheet="1" selectLockedCells="1" selectUnlockedCells="1"/>
  <autoFilter ref="A1:H124"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G10" sqref="G10"/>
    </sheetView>
  </sheetViews>
  <sheetFormatPr defaultColWidth="9.1796875" defaultRowHeight="12.5" x14ac:dyDescent="0.25"/>
  <cols>
    <col min="1" max="1" width="25" style="15" customWidth="1"/>
    <col min="2" max="2" width="12.81640625" style="15" customWidth="1"/>
    <col min="3" max="3" width="11.26953125" style="15" customWidth="1"/>
    <col min="4" max="4" width="23.81640625" style="15" customWidth="1"/>
    <col min="5" max="5" width="16.26953125" style="15" customWidth="1"/>
    <col min="6" max="6" width="19.81640625" style="15" customWidth="1"/>
    <col min="7" max="7" width="16.1796875" style="15" customWidth="1"/>
    <col min="8" max="16384" width="9.1796875" style="15"/>
  </cols>
  <sheetData>
    <row r="1" spans="1:7" s="3" customFormat="1" x14ac:dyDescent="0.25">
      <c r="A1" s="184" t="s">
        <v>106</v>
      </c>
      <c r="B1" s="184"/>
      <c r="C1" s="184"/>
      <c r="D1" s="184"/>
      <c r="E1" s="184"/>
      <c r="F1" s="184"/>
      <c r="G1" s="184"/>
    </row>
    <row r="2" spans="1:7" s="3" customFormat="1" x14ac:dyDescent="0.25">
      <c r="A2" s="184"/>
      <c r="B2" s="184"/>
      <c r="C2" s="184"/>
      <c r="D2" s="184"/>
      <c r="E2" s="184"/>
      <c r="F2" s="184"/>
      <c r="G2" s="184"/>
    </row>
    <row r="3" spans="1:7" s="3" customFormat="1" x14ac:dyDescent="0.25">
      <c r="A3" s="184"/>
      <c r="B3" s="184"/>
      <c r="C3" s="184"/>
      <c r="D3" s="184"/>
      <c r="E3" s="184"/>
      <c r="F3" s="184"/>
      <c r="G3" s="184"/>
    </row>
    <row r="4" spans="1:7" s="5" customFormat="1" ht="12.75" customHeight="1" x14ac:dyDescent="0.3">
      <c r="A4" s="184"/>
      <c r="B4" s="184"/>
      <c r="C4" s="184"/>
      <c r="D4" s="184"/>
      <c r="E4" s="184"/>
      <c r="F4" s="184"/>
      <c r="G4" s="184"/>
    </row>
    <row r="5" spans="1:7" s="5" customFormat="1" ht="13.5" thickBot="1" x14ac:dyDescent="0.35">
      <c r="B5" s="7"/>
      <c r="C5" s="8"/>
      <c r="D5" s="8"/>
    </row>
    <row r="6" spans="1:7" s="29" customFormat="1" ht="13.5" thickBot="1" x14ac:dyDescent="0.35">
      <c r="A6" s="134" t="s">
        <v>56</v>
      </c>
      <c r="B6" s="135" t="s">
        <v>57</v>
      </c>
      <c r="C6" s="135" t="s">
        <v>58</v>
      </c>
      <c r="D6" s="136" t="s">
        <v>59</v>
      </c>
      <c r="E6" s="137" t="s">
        <v>60</v>
      </c>
      <c r="F6" s="136" t="s">
        <v>61</v>
      </c>
      <c r="G6" s="138" t="s">
        <v>62</v>
      </c>
    </row>
    <row r="7" spans="1:7" x14ac:dyDescent="0.25">
      <c r="A7" s="101"/>
      <c r="B7" s="102"/>
      <c r="C7" s="102"/>
      <c r="D7" s="103"/>
      <c r="E7" s="103"/>
      <c r="F7" s="104"/>
      <c r="G7" s="105">
        <f>E7-F7</f>
        <v>0</v>
      </c>
    </row>
    <row r="8" spans="1:7" x14ac:dyDescent="0.25">
      <c r="A8" s="23"/>
      <c r="B8" s="21"/>
      <c r="C8" s="21"/>
      <c r="D8" s="22"/>
      <c r="E8" s="22"/>
      <c r="F8" s="20"/>
      <c r="G8" s="24">
        <f t="shared" ref="G8:G16" si="0">E8-F8</f>
        <v>0</v>
      </c>
    </row>
    <row r="9" spans="1:7" x14ac:dyDescent="0.25">
      <c r="A9" s="23"/>
      <c r="B9" s="21"/>
      <c r="C9" s="21"/>
      <c r="D9" s="22"/>
      <c r="E9" s="22"/>
      <c r="F9" s="20"/>
      <c r="G9" s="24">
        <f t="shared" si="0"/>
        <v>0</v>
      </c>
    </row>
    <row r="10" spans="1:7" x14ac:dyDescent="0.25">
      <c r="A10" s="23"/>
      <c r="B10" s="21"/>
      <c r="C10" s="21"/>
      <c r="D10" s="22"/>
      <c r="E10" s="22"/>
      <c r="F10" s="20"/>
      <c r="G10" s="24">
        <f t="shared" si="0"/>
        <v>0</v>
      </c>
    </row>
    <row r="11" spans="1:7" x14ac:dyDescent="0.25">
      <c r="A11" s="23"/>
      <c r="B11" s="21"/>
      <c r="C11" s="21"/>
      <c r="D11" s="22"/>
      <c r="E11" s="22"/>
      <c r="F11" s="20"/>
      <c r="G11" s="24">
        <f t="shared" si="0"/>
        <v>0</v>
      </c>
    </row>
    <row r="12" spans="1:7" x14ac:dyDescent="0.25">
      <c r="A12" s="23"/>
      <c r="B12" s="21"/>
      <c r="C12" s="21"/>
      <c r="D12" s="22"/>
      <c r="E12" s="22"/>
      <c r="F12" s="20"/>
      <c r="G12" s="24">
        <f t="shared" si="0"/>
        <v>0</v>
      </c>
    </row>
    <row r="13" spans="1:7" x14ac:dyDescent="0.25">
      <c r="A13" s="23"/>
      <c r="B13" s="21"/>
      <c r="C13" s="21"/>
      <c r="D13" s="22"/>
      <c r="E13" s="22"/>
      <c r="F13" s="20"/>
      <c r="G13" s="24">
        <f t="shared" si="0"/>
        <v>0</v>
      </c>
    </row>
    <row r="14" spans="1:7" x14ac:dyDescent="0.25">
      <c r="A14" s="23"/>
      <c r="B14" s="21"/>
      <c r="C14" s="21"/>
      <c r="D14" s="22"/>
      <c r="E14" s="22"/>
      <c r="F14" s="20"/>
      <c r="G14" s="24">
        <f t="shared" si="0"/>
        <v>0</v>
      </c>
    </row>
    <row r="15" spans="1:7" x14ac:dyDescent="0.25">
      <c r="A15" s="23"/>
      <c r="B15" s="21"/>
      <c r="C15" s="21"/>
      <c r="D15" s="22"/>
      <c r="E15" s="22"/>
      <c r="F15" s="20"/>
      <c r="G15" s="24">
        <f t="shared" si="0"/>
        <v>0</v>
      </c>
    </row>
    <row r="16" spans="1:7" ht="13" thickBot="1" x14ac:dyDescent="0.3">
      <c r="A16" s="25"/>
      <c r="B16" s="26"/>
      <c r="C16" s="26"/>
      <c r="D16" s="27"/>
      <c r="E16" s="27"/>
      <c r="F16" s="28"/>
      <c r="G16" s="100">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1:C28"/>
  <sheetViews>
    <sheetView workbookViewId="0">
      <selection activeCell="A26" sqref="A26:A28"/>
    </sheetView>
  </sheetViews>
  <sheetFormatPr defaultRowHeight="12.5" x14ac:dyDescent="0.25"/>
  <cols>
    <col min="1" max="1" width="45.1796875" customWidth="1"/>
    <col min="2" max="2" width="37.54296875" customWidth="1"/>
    <col min="3" max="3" width="40.26953125" customWidth="1"/>
  </cols>
  <sheetData>
    <row r="1" spans="1:3" x14ac:dyDescent="0.25">
      <c r="B1" s="15" t="s">
        <v>63</v>
      </c>
    </row>
    <row r="2" spans="1:3" x14ac:dyDescent="0.25">
      <c r="A2" t="s">
        <v>34</v>
      </c>
      <c r="B2" s="15" t="s">
        <v>64</v>
      </c>
      <c r="C2" t="s">
        <v>151</v>
      </c>
    </row>
    <row r="3" spans="1:3" x14ac:dyDescent="0.25">
      <c r="A3" t="s">
        <v>36</v>
      </c>
      <c r="C3" t="s">
        <v>152</v>
      </c>
    </row>
    <row r="4" spans="1:3" x14ac:dyDescent="0.25">
      <c r="A4" t="s">
        <v>37</v>
      </c>
      <c r="B4" s="15"/>
    </row>
    <row r="5" spans="1:3" x14ac:dyDescent="0.25">
      <c r="A5" t="s">
        <v>38</v>
      </c>
      <c r="B5" s="15"/>
    </row>
    <row r="6" spans="1:3" x14ac:dyDescent="0.25">
      <c r="A6" t="s">
        <v>39</v>
      </c>
    </row>
    <row r="7" spans="1:3" x14ac:dyDescent="0.25">
      <c r="A7" t="s">
        <v>40</v>
      </c>
    </row>
    <row r="8" spans="1:3" x14ac:dyDescent="0.25">
      <c r="A8" t="s">
        <v>41</v>
      </c>
    </row>
    <row r="9" spans="1:3" x14ac:dyDescent="0.25">
      <c r="A9" t="s">
        <v>42</v>
      </c>
    </row>
    <row r="10" spans="1:3" x14ac:dyDescent="0.25">
      <c r="A10" t="s">
        <v>43</v>
      </c>
    </row>
    <row r="11" spans="1:3" x14ac:dyDescent="0.25">
      <c r="A11" t="s">
        <v>44</v>
      </c>
    </row>
    <row r="12" spans="1:3" x14ac:dyDescent="0.25">
      <c r="A12" t="s">
        <v>45</v>
      </c>
    </row>
    <row r="13" spans="1:3" x14ac:dyDescent="0.25">
      <c r="A13" t="s">
        <v>46</v>
      </c>
    </row>
    <row r="14" spans="1:3" x14ac:dyDescent="0.25">
      <c r="A14" t="s">
        <v>47</v>
      </c>
    </row>
    <row r="15" spans="1:3" x14ac:dyDescent="0.25">
      <c r="A15" t="s">
        <v>48</v>
      </c>
    </row>
    <row r="16" spans="1:3" x14ac:dyDescent="0.25">
      <c r="A16" t="s">
        <v>49</v>
      </c>
    </row>
    <row r="17" spans="1:1" x14ac:dyDescent="0.25">
      <c r="A17" t="s">
        <v>50</v>
      </c>
    </row>
    <row r="18" spans="1:1" x14ac:dyDescent="0.25">
      <c r="A18" t="s">
        <v>51</v>
      </c>
    </row>
    <row r="19" spans="1:1" x14ac:dyDescent="0.25">
      <c r="A19" t="s">
        <v>52</v>
      </c>
    </row>
    <row r="20" spans="1:1" x14ac:dyDescent="0.25">
      <c r="A20" s="15" t="s">
        <v>53</v>
      </c>
    </row>
    <row r="21" spans="1:1" x14ac:dyDescent="0.25">
      <c r="A21" t="s">
        <v>54</v>
      </c>
    </row>
    <row r="22" spans="1:1" x14ac:dyDescent="0.25">
      <c r="A22" t="s">
        <v>55</v>
      </c>
    </row>
    <row r="23" spans="1:1" x14ac:dyDescent="0.25">
      <c r="A23" t="s">
        <v>66</v>
      </c>
    </row>
    <row r="24" spans="1:1" x14ac:dyDescent="0.25">
      <c r="A24" t="s">
        <v>67</v>
      </c>
    </row>
    <row r="25" spans="1:1" x14ac:dyDescent="0.25">
      <c r="A25" t="s">
        <v>65</v>
      </c>
    </row>
    <row r="26" spans="1:1" x14ac:dyDescent="0.25">
      <c r="A26" t="s">
        <v>162</v>
      </c>
    </row>
    <row r="27" spans="1:1" x14ac:dyDescent="0.25">
      <c r="A27" t="s">
        <v>163</v>
      </c>
    </row>
    <row r="28" spans="1:1" x14ac:dyDescent="0.25">
      <c r="A28" t="s">
        <v>164</v>
      </c>
    </row>
  </sheetData>
  <sheetProtection sheet="1" selectLockedCells="1" selectUnlockedCells="1"/>
  <sortState xmlns:xlrd2="http://schemas.microsoft.com/office/spreadsheetml/2017/richdata2" ref="A2:A22">
    <sortCondition ref="A2:A2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topLeftCell="A3" workbookViewId="0">
      <selection activeCell="C7" sqref="C7"/>
    </sheetView>
  </sheetViews>
  <sheetFormatPr defaultRowHeight="12.5" x14ac:dyDescent="0.25"/>
  <cols>
    <col min="1" max="1" width="30.1796875" style="110" customWidth="1"/>
    <col min="2" max="2" width="115.7265625" style="114" customWidth="1"/>
    <col min="3" max="3" width="57.453125" style="112" customWidth="1"/>
    <col min="4" max="4" width="33" customWidth="1"/>
  </cols>
  <sheetData>
    <row r="1" spans="1:3" s="109" customFormat="1" ht="13" x14ac:dyDescent="0.3">
      <c r="A1" s="107" t="s">
        <v>28</v>
      </c>
      <c r="B1" s="108" t="s">
        <v>109</v>
      </c>
      <c r="C1" s="108" t="s">
        <v>110</v>
      </c>
    </row>
    <row r="2" spans="1:3" ht="62.5" x14ac:dyDescent="0.25">
      <c r="A2" s="110" t="s">
        <v>34</v>
      </c>
      <c r="B2" s="111" t="s">
        <v>111</v>
      </c>
    </row>
    <row r="3" spans="1:3" ht="100" x14ac:dyDescent="0.25">
      <c r="A3" s="113" t="s">
        <v>112</v>
      </c>
      <c r="B3" s="114" t="s">
        <v>113</v>
      </c>
    </row>
    <row r="4" spans="1:3" ht="62.5" x14ac:dyDescent="0.25">
      <c r="A4" s="110" t="s">
        <v>38</v>
      </c>
      <c r="B4" s="114" t="s">
        <v>114</v>
      </c>
    </row>
    <row r="5" spans="1:3" ht="25" x14ac:dyDescent="0.25">
      <c r="A5" s="110" t="s">
        <v>39</v>
      </c>
      <c r="B5" s="114" t="s">
        <v>115</v>
      </c>
    </row>
    <row r="6" spans="1:3" ht="76" x14ac:dyDescent="0.25">
      <c r="A6" s="110" t="s">
        <v>40</v>
      </c>
      <c r="B6" s="114" t="s">
        <v>116</v>
      </c>
      <c r="C6" s="115" t="s">
        <v>148</v>
      </c>
    </row>
    <row r="7" spans="1:3" ht="137.5" x14ac:dyDescent="0.25">
      <c r="A7" s="110" t="s">
        <v>41</v>
      </c>
      <c r="B7" s="114" t="s">
        <v>117</v>
      </c>
      <c r="C7" s="115" t="s">
        <v>149</v>
      </c>
    </row>
    <row r="8" spans="1:3" ht="37.5" x14ac:dyDescent="0.25">
      <c r="A8" s="110" t="s">
        <v>118</v>
      </c>
      <c r="B8" s="116" t="s">
        <v>119</v>
      </c>
    </row>
    <row r="9" spans="1:3" ht="37.5" x14ac:dyDescent="0.25">
      <c r="A9" s="110" t="s">
        <v>120</v>
      </c>
      <c r="B9" s="117" t="s">
        <v>121</v>
      </c>
    </row>
    <row r="10" spans="1:3" ht="25" x14ac:dyDescent="0.25">
      <c r="A10" s="110" t="s">
        <v>46</v>
      </c>
      <c r="B10" s="114" t="s">
        <v>122</v>
      </c>
    </row>
    <row r="11" spans="1:3" ht="125.5" x14ac:dyDescent="0.25">
      <c r="A11" s="110" t="s">
        <v>47</v>
      </c>
      <c r="B11" s="114" t="s">
        <v>123</v>
      </c>
      <c r="C11" s="115" t="s">
        <v>134</v>
      </c>
    </row>
    <row r="12" spans="1:3" ht="25" x14ac:dyDescent="0.25">
      <c r="A12" s="110" t="s">
        <v>124</v>
      </c>
      <c r="B12" s="114" t="s">
        <v>125</v>
      </c>
      <c r="C12" s="118"/>
    </row>
    <row r="13" spans="1:3" ht="112.5" x14ac:dyDescent="0.25">
      <c r="A13" s="110" t="s">
        <v>50</v>
      </c>
      <c r="B13" s="114" t="s">
        <v>126</v>
      </c>
    </row>
    <row r="14" spans="1:3" ht="62.5" x14ac:dyDescent="0.25">
      <c r="A14" s="113" t="s">
        <v>51</v>
      </c>
      <c r="B14" s="117" t="s">
        <v>127</v>
      </c>
    </row>
    <row r="15" spans="1:3" ht="100" x14ac:dyDescent="0.25">
      <c r="A15" s="110" t="s">
        <v>52</v>
      </c>
      <c r="B15" s="114" t="s">
        <v>128</v>
      </c>
    </row>
    <row r="16" spans="1:3" ht="112.5" x14ac:dyDescent="0.25">
      <c r="A16" s="113" t="s">
        <v>53</v>
      </c>
      <c r="B16" s="114" t="s">
        <v>129</v>
      </c>
    </row>
    <row r="17" spans="1:3" ht="87.5" x14ac:dyDescent="0.25">
      <c r="A17" s="113" t="s">
        <v>54</v>
      </c>
      <c r="B17" s="116" t="s">
        <v>130</v>
      </c>
    </row>
    <row r="18" spans="1:3" ht="162.5" x14ac:dyDescent="0.25">
      <c r="A18" s="110" t="s">
        <v>55</v>
      </c>
      <c r="B18" s="117" t="s">
        <v>131</v>
      </c>
      <c r="C18" s="118" t="s">
        <v>135</v>
      </c>
    </row>
    <row r="19" spans="1:3" ht="112.5" x14ac:dyDescent="0.25">
      <c r="A19" s="113" t="s">
        <v>132</v>
      </c>
      <c r="B19" s="117" t="s">
        <v>133</v>
      </c>
      <c r="C19" s="11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2"/>
  <sheetViews>
    <sheetView showGridLines="0" workbookViewId="0">
      <selection activeCell="A36" sqref="A36"/>
    </sheetView>
  </sheetViews>
  <sheetFormatPr defaultRowHeight="12.5" x14ac:dyDescent="0.25"/>
  <cols>
    <col min="1" max="1" width="112.81640625" customWidth="1"/>
    <col min="2" max="2" width="13" customWidth="1"/>
    <col min="10" max="10" width="14.453125" customWidth="1"/>
  </cols>
  <sheetData>
    <row r="1" spans="1:8" s="120" customFormat="1" ht="15.5" x14ac:dyDescent="0.35">
      <c r="A1" s="119" t="s">
        <v>136</v>
      </c>
    </row>
    <row r="2" spans="1:8" ht="14.5" x14ac:dyDescent="0.3">
      <c r="A2" s="121" t="s">
        <v>137</v>
      </c>
    </row>
    <row r="3" spans="1:8" ht="14.5" x14ac:dyDescent="0.3">
      <c r="A3" s="122"/>
    </row>
    <row r="4" spans="1:8" ht="14.5" x14ac:dyDescent="0.3">
      <c r="A4" s="122"/>
    </row>
    <row r="5" spans="1:8" s="120" customFormat="1" ht="15.5" x14ac:dyDescent="0.35">
      <c r="A5" s="123" t="s">
        <v>138</v>
      </c>
    </row>
    <row r="6" spans="1:8" ht="14.5" x14ac:dyDescent="0.3">
      <c r="A6" s="124" t="s">
        <v>139</v>
      </c>
    </row>
    <row r="7" spans="1:8" ht="14.5" x14ac:dyDescent="0.3">
      <c r="A7" s="125" t="s">
        <v>140</v>
      </c>
    </row>
    <row r="8" spans="1:8" ht="14.5" x14ac:dyDescent="0.3">
      <c r="A8" s="126"/>
    </row>
    <row r="10" spans="1:8" s="120" customFormat="1" ht="15.5" x14ac:dyDescent="0.35">
      <c r="A10" s="123" t="s">
        <v>141</v>
      </c>
    </row>
    <row r="11" spans="1:8" ht="14.5" x14ac:dyDescent="0.25">
      <c r="A11" s="127" t="s">
        <v>142</v>
      </c>
    </row>
    <row r="12" spans="1:8" ht="14.5" x14ac:dyDescent="0.3">
      <c r="A12" s="128" t="s">
        <v>143</v>
      </c>
    </row>
    <row r="13" spans="1:8" ht="14.5" x14ac:dyDescent="0.3">
      <c r="A13" s="129" t="s">
        <v>144</v>
      </c>
    </row>
    <row r="16" spans="1:8" s="120" customFormat="1" ht="15.5" x14ac:dyDescent="0.35">
      <c r="A16" s="123" t="s">
        <v>145</v>
      </c>
      <c r="B16" s="130"/>
      <c r="C16" s="130"/>
      <c r="D16" s="130"/>
      <c r="E16" s="130"/>
      <c r="F16" s="130"/>
      <c r="G16" s="130"/>
      <c r="H16" s="130"/>
    </row>
    <row r="17" spans="1:1" ht="14.5" x14ac:dyDescent="0.3">
      <c r="A17" s="128" t="s">
        <v>146</v>
      </c>
    </row>
    <row r="18" spans="1:1" ht="13" x14ac:dyDescent="0.3">
      <c r="A18" s="131" t="s">
        <v>147</v>
      </c>
    </row>
    <row r="19" spans="1:1" x14ac:dyDescent="0.25">
      <c r="A19" s="132" t="s">
        <v>155</v>
      </c>
    </row>
    <row r="20" spans="1:1" x14ac:dyDescent="0.25">
      <c r="A20" s="132" t="s">
        <v>156</v>
      </c>
    </row>
    <row r="21" spans="1:1" x14ac:dyDescent="0.25">
      <c r="A21" s="132"/>
    </row>
    <row r="22" spans="1:1" x14ac:dyDescent="0.25">
      <c r="A22" s="132"/>
    </row>
    <row r="23" spans="1:1" x14ac:dyDescent="0.25">
      <c r="A23" s="132"/>
    </row>
    <row r="24" spans="1:1" x14ac:dyDescent="0.25">
      <c r="A24" s="132"/>
    </row>
    <row r="25" spans="1:1" x14ac:dyDescent="0.25">
      <c r="A25" s="132"/>
    </row>
    <row r="26" spans="1:1" x14ac:dyDescent="0.25">
      <c r="A26" s="132"/>
    </row>
    <row r="27" spans="1:1" x14ac:dyDescent="0.25">
      <c r="A27" s="132"/>
    </row>
    <row r="28" spans="1:1" x14ac:dyDescent="0.25">
      <c r="A28" s="132"/>
    </row>
    <row r="29" spans="1:1" x14ac:dyDescent="0.25">
      <c r="A29" s="132"/>
    </row>
    <row r="30" spans="1:1" x14ac:dyDescent="0.25">
      <c r="A30" s="132"/>
    </row>
    <row r="31" spans="1:1" x14ac:dyDescent="0.25">
      <c r="A31" s="132"/>
    </row>
    <row r="32" spans="1:1" x14ac:dyDescent="0.25">
      <c r="A32" s="133"/>
    </row>
    <row r="42" ht="4.5" customHeight="1" x14ac:dyDescent="0.25"/>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05501-BF1A-4DF6-927E-3AEA4A4967BE}">
  <ds:schemaRefs>
    <ds:schemaRef ds:uri="2441f5b1-69cd-4001-8dc6-93e2bb722da8"/>
    <ds:schemaRef ds:uri="http://schemas.openxmlformats.org/package/2006/metadata/core-properties"/>
    <ds:schemaRef ds:uri="db761a40-f6ca-455a-8ece-896444abe52e"/>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C4EA349D-D96C-4087-B513-6BFB42DBCE6C}">
  <ds:schemaRefs>
    <ds:schemaRef ds:uri="http://schemas.microsoft.com/sharepoint/v3/contenttype/forms"/>
  </ds:schemaRefs>
</ds:datastoreItem>
</file>

<file path=customXml/itemProps3.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Invoice</vt:lpstr>
      <vt:lpstr>Optimax Rates</vt:lpstr>
      <vt:lpstr>For Provider Use Only</vt:lpstr>
      <vt:lpstr>Drop Downs</vt:lpstr>
      <vt:lpstr>Service Definitions</vt:lpstr>
      <vt:lpstr>Additional Resources</vt:lpstr>
      <vt:lpstr>Invoice!Print_Area</vt:lpstr>
      <vt:lpstr>Invoice!Print_Titles</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Kate Leaf</cp:lastModifiedBy>
  <cp:revision/>
  <cp:lastPrinted>2025-07-01T16:43:56Z</cp:lastPrinted>
  <dcterms:created xsi:type="dcterms:W3CDTF">2004-08-09T15:26:42Z</dcterms:created>
  <dcterms:modified xsi:type="dcterms:W3CDTF">2025-08-14T21:36:50Z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